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E170" i="1" l="1"/>
  <c r="L84" i="1"/>
  <c r="D93" i="1"/>
  <c r="F93" i="1"/>
  <c r="H93" i="1"/>
  <c r="J93" i="1"/>
  <c r="L93" i="1"/>
  <c r="N93" i="1"/>
  <c r="C93" i="1"/>
  <c r="E94" i="1"/>
  <c r="G94" i="1" s="1"/>
  <c r="G93" i="1" s="1"/>
  <c r="C95" i="1"/>
  <c r="D95" i="1"/>
  <c r="F95" i="1"/>
  <c r="H95" i="1"/>
  <c r="J95" i="1"/>
  <c r="L95" i="1"/>
  <c r="N95" i="1"/>
  <c r="E96" i="1"/>
  <c r="E95" i="1" s="1"/>
  <c r="L85" i="1"/>
  <c r="D89" i="1"/>
  <c r="D87" i="1" s="1"/>
  <c r="F89" i="1"/>
  <c r="F87" i="1" s="1"/>
  <c r="H89" i="1"/>
  <c r="H87" i="1" s="1"/>
  <c r="J89" i="1"/>
  <c r="J87" i="1" s="1"/>
  <c r="L89" i="1"/>
  <c r="N89" i="1"/>
  <c r="N87" i="1" s="1"/>
  <c r="C89" i="1"/>
  <c r="C87" i="1" s="1"/>
  <c r="E92" i="1"/>
  <c r="G92" i="1" s="1"/>
  <c r="I92" i="1" s="1"/>
  <c r="E147" i="1"/>
  <c r="G147" i="1" s="1"/>
  <c r="I147" i="1" s="1"/>
  <c r="K147" i="1" s="1"/>
  <c r="M147" i="1" s="1"/>
  <c r="N146" i="1"/>
  <c r="L146" i="1"/>
  <c r="J146" i="1"/>
  <c r="H146" i="1"/>
  <c r="F146" i="1"/>
  <c r="D146" i="1"/>
  <c r="C146" i="1"/>
  <c r="L12" i="1"/>
  <c r="L13" i="1"/>
  <c r="D66" i="1"/>
  <c r="F66" i="1"/>
  <c r="H66" i="1"/>
  <c r="J66" i="1"/>
  <c r="L66" i="1"/>
  <c r="N66" i="1"/>
  <c r="C66" i="1"/>
  <c r="E67" i="1"/>
  <c r="G67" i="1" s="1"/>
  <c r="L138" i="1"/>
  <c r="E138" i="1"/>
  <c r="G138" i="1" s="1"/>
  <c r="N137" i="1"/>
  <c r="L137" i="1"/>
  <c r="J137" i="1"/>
  <c r="H137" i="1"/>
  <c r="F137" i="1"/>
  <c r="D137" i="1"/>
  <c r="C137" i="1"/>
  <c r="L23" i="1"/>
  <c r="L5" i="1"/>
  <c r="L141" i="1"/>
  <c r="E107" i="1"/>
  <c r="G107" i="1" s="1"/>
  <c r="D106" i="1"/>
  <c r="F106" i="1"/>
  <c r="H106" i="1"/>
  <c r="J106" i="1"/>
  <c r="L106" i="1"/>
  <c r="N106" i="1"/>
  <c r="C106" i="1"/>
  <c r="L126" i="1"/>
  <c r="C126" i="1"/>
  <c r="E108" i="1"/>
  <c r="G108" i="1" s="1"/>
  <c r="E52" i="1"/>
  <c r="G52" i="1" s="1"/>
  <c r="I52" i="1" s="1"/>
  <c r="K52" i="1" s="1"/>
  <c r="M52" i="1" s="1"/>
  <c r="L40" i="1"/>
  <c r="L135" i="1"/>
  <c r="L24" i="1"/>
  <c r="L6" i="1"/>
  <c r="G96" i="1" l="1"/>
  <c r="G95" i="1" s="1"/>
  <c r="E146" i="1"/>
  <c r="G146" i="1" s="1"/>
  <c r="I146" i="1" s="1"/>
  <c r="K146" i="1" s="1"/>
  <c r="M146" i="1" s="1"/>
  <c r="I67" i="1"/>
  <c r="L87" i="1"/>
  <c r="E93" i="1"/>
  <c r="I94" i="1"/>
  <c r="I93" i="1" s="1"/>
  <c r="I96" i="1"/>
  <c r="E137" i="1"/>
  <c r="I107" i="1"/>
  <c r="G106" i="1"/>
  <c r="E106" i="1"/>
  <c r="G137" i="1"/>
  <c r="I138" i="1"/>
  <c r="I108" i="1"/>
  <c r="K92" i="1"/>
  <c r="M92" i="1" s="1"/>
  <c r="K67" i="1" l="1"/>
  <c r="I95" i="1"/>
  <c r="K96" i="1"/>
  <c r="K94" i="1"/>
  <c r="K93" i="1" s="1"/>
  <c r="K107" i="1"/>
  <c r="I106" i="1"/>
  <c r="K138" i="1"/>
  <c r="I137" i="1"/>
  <c r="K108" i="1"/>
  <c r="E99" i="1"/>
  <c r="G99" i="1" s="1"/>
  <c r="D98" i="1"/>
  <c r="F98" i="1"/>
  <c r="H98" i="1"/>
  <c r="J98" i="1"/>
  <c r="L98" i="1"/>
  <c r="N98" i="1"/>
  <c r="C98" i="1"/>
  <c r="L39" i="1"/>
  <c r="E40" i="1"/>
  <c r="N39" i="1"/>
  <c r="J39" i="1"/>
  <c r="H39" i="1"/>
  <c r="F39" i="1"/>
  <c r="D39" i="1"/>
  <c r="C39" i="1"/>
  <c r="M67" i="1" l="1"/>
  <c r="K95" i="1"/>
  <c r="M96" i="1"/>
  <c r="M94" i="1"/>
  <c r="M93" i="1" s="1"/>
  <c r="M107" i="1"/>
  <c r="K106" i="1"/>
  <c r="K137" i="1"/>
  <c r="M138" i="1"/>
  <c r="M108" i="1"/>
  <c r="I99" i="1"/>
  <c r="G40" i="1"/>
  <c r="E39" i="1"/>
  <c r="J85" i="1"/>
  <c r="J84" i="1"/>
  <c r="J135" i="1"/>
  <c r="J23" i="1"/>
  <c r="E68" i="1"/>
  <c r="G68" i="1" l="1"/>
  <c r="E66" i="1"/>
  <c r="M95" i="1"/>
  <c r="M106" i="1"/>
  <c r="M137" i="1"/>
  <c r="K99" i="1"/>
  <c r="I40" i="1"/>
  <c r="G39" i="1"/>
  <c r="D41" i="1"/>
  <c r="F41" i="1"/>
  <c r="H41" i="1"/>
  <c r="J41" i="1"/>
  <c r="L41" i="1"/>
  <c r="N41" i="1"/>
  <c r="C41" i="1"/>
  <c r="J5" i="1"/>
  <c r="E158" i="1"/>
  <c r="D157" i="1"/>
  <c r="F157" i="1"/>
  <c r="H157" i="1"/>
  <c r="J157" i="1"/>
  <c r="L157" i="1"/>
  <c r="N157" i="1"/>
  <c r="C157" i="1"/>
  <c r="E159" i="1"/>
  <c r="G159" i="1" s="1"/>
  <c r="I159" i="1" s="1"/>
  <c r="K159" i="1" s="1"/>
  <c r="M159" i="1" s="1"/>
  <c r="J12" i="1"/>
  <c r="I68" i="1" l="1"/>
  <c r="G66" i="1"/>
  <c r="E157" i="1"/>
  <c r="M99" i="1"/>
  <c r="G158" i="1"/>
  <c r="K40" i="1"/>
  <c r="I39" i="1"/>
  <c r="J134" i="1"/>
  <c r="J126" i="1"/>
  <c r="E134" i="1"/>
  <c r="G134" i="1" s="1"/>
  <c r="I134" i="1" s="1"/>
  <c r="K134" i="1" s="1"/>
  <c r="M134" i="1" s="1"/>
  <c r="E100" i="1"/>
  <c r="E133" i="1"/>
  <c r="G133" i="1" s="1"/>
  <c r="I133" i="1" s="1"/>
  <c r="K133" i="1" s="1"/>
  <c r="M133" i="1" s="1"/>
  <c r="E135" i="1"/>
  <c r="G135" i="1" s="1"/>
  <c r="J155" i="1"/>
  <c r="D54" i="1"/>
  <c r="F54" i="1"/>
  <c r="H54" i="1"/>
  <c r="J54" i="1"/>
  <c r="L54" i="1"/>
  <c r="N54" i="1"/>
  <c r="C54" i="1"/>
  <c r="E55" i="1"/>
  <c r="G55" i="1" s="1"/>
  <c r="I55" i="1" s="1"/>
  <c r="K55" i="1" s="1"/>
  <c r="M55" i="1" s="1"/>
  <c r="D56" i="1"/>
  <c r="F56" i="1"/>
  <c r="H56" i="1"/>
  <c r="L56" i="1"/>
  <c r="N56" i="1"/>
  <c r="C56" i="1"/>
  <c r="E60" i="1"/>
  <c r="G60" i="1" s="1"/>
  <c r="I60" i="1" s="1"/>
  <c r="J60" i="1"/>
  <c r="J56" i="1" s="1"/>
  <c r="J34" i="1"/>
  <c r="K68" i="1" l="1"/>
  <c r="I66" i="1"/>
  <c r="G100" i="1"/>
  <c r="G98" i="1" s="1"/>
  <c r="E98" i="1"/>
  <c r="G157" i="1"/>
  <c r="I158" i="1"/>
  <c r="M40" i="1"/>
  <c r="K39" i="1"/>
  <c r="I100" i="1"/>
  <c r="I98" i="1" s="1"/>
  <c r="K60" i="1"/>
  <c r="M60" i="1" s="1"/>
  <c r="E54" i="1"/>
  <c r="M54" i="1"/>
  <c r="K54" i="1"/>
  <c r="I54" i="1"/>
  <c r="G54" i="1"/>
  <c r="M68" i="1" l="1"/>
  <c r="K66" i="1"/>
  <c r="K158" i="1"/>
  <c r="I157" i="1"/>
  <c r="M39" i="1"/>
  <c r="K100" i="1"/>
  <c r="K98" i="1" s="1"/>
  <c r="J35" i="1"/>
  <c r="J36" i="1"/>
  <c r="J78" i="1"/>
  <c r="J37" i="1"/>
  <c r="J38" i="1"/>
  <c r="M66" i="1" l="1"/>
  <c r="M158" i="1"/>
  <c r="K157" i="1"/>
  <c r="M100" i="1"/>
  <c r="M98" i="1" s="1"/>
  <c r="J24" i="1"/>
  <c r="J6" i="1"/>
  <c r="J27" i="1"/>
  <c r="J13" i="1"/>
  <c r="M157" i="1" l="1"/>
  <c r="H144" i="1"/>
  <c r="H135" i="1"/>
  <c r="H48" i="1" l="1"/>
  <c r="D161" i="1"/>
  <c r="F161" i="1"/>
  <c r="H161" i="1"/>
  <c r="J161" i="1"/>
  <c r="L161" i="1"/>
  <c r="N161" i="1"/>
  <c r="C161" i="1"/>
  <c r="E166" i="1"/>
  <c r="G166" i="1" s="1"/>
  <c r="I166" i="1" s="1"/>
  <c r="K166" i="1" s="1"/>
  <c r="M166" i="1" s="1"/>
  <c r="E167" i="1"/>
  <c r="G167" i="1" s="1"/>
  <c r="I167" i="1" s="1"/>
  <c r="K167" i="1" s="1"/>
  <c r="M167" i="1" s="1"/>
  <c r="E165" i="1"/>
  <c r="G165" i="1" s="1"/>
  <c r="I165" i="1" s="1"/>
  <c r="K165" i="1" s="1"/>
  <c r="M165" i="1" s="1"/>
  <c r="H23" i="1" l="1"/>
  <c r="H128" i="1"/>
  <c r="F128" i="1"/>
  <c r="D128" i="1"/>
  <c r="E129" i="1"/>
  <c r="G129" i="1" s="1"/>
  <c r="I129" i="1" s="1"/>
  <c r="K129" i="1" s="1"/>
  <c r="M129" i="1" s="1"/>
  <c r="N128" i="1"/>
  <c r="L128" i="1"/>
  <c r="J128" i="1"/>
  <c r="C128" i="1"/>
  <c r="E128" i="1" s="1"/>
  <c r="H5" i="1"/>
  <c r="H24" i="1"/>
  <c r="H120" i="1"/>
  <c r="J46" i="1"/>
  <c r="L46" i="1"/>
  <c r="N46" i="1"/>
  <c r="C46" i="1"/>
  <c r="E49" i="1"/>
  <c r="G49" i="1" s="1"/>
  <c r="I49" i="1" s="1"/>
  <c r="K49" i="1" s="1"/>
  <c r="M49" i="1" s="1"/>
  <c r="G128" i="1" l="1"/>
  <c r="I128" i="1" s="1"/>
  <c r="K128" i="1" s="1"/>
  <c r="M128" i="1" s="1"/>
  <c r="E88" i="1"/>
  <c r="E91" i="1"/>
  <c r="G91" i="1" s="1"/>
  <c r="E90" i="1"/>
  <c r="H84" i="1"/>
  <c r="H12" i="1"/>
  <c r="G90" i="1" l="1"/>
  <c r="E89" i="1"/>
  <c r="E87" i="1" s="1"/>
  <c r="G88" i="1"/>
  <c r="I91" i="1"/>
  <c r="K91" i="1" s="1"/>
  <c r="M91" i="1" s="1"/>
  <c r="I88" i="1"/>
  <c r="H126" i="1"/>
  <c r="H34" i="1"/>
  <c r="I90" i="1" l="1"/>
  <c r="G89" i="1"/>
  <c r="G87" i="1" s="1"/>
  <c r="K88" i="1"/>
  <c r="E58" i="1"/>
  <c r="G58" i="1" s="1"/>
  <c r="I58" i="1" s="1"/>
  <c r="K58" i="1" s="1"/>
  <c r="M58" i="1" s="1"/>
  <c r="E59" i="1"/>
  <c r="G59" i="1" s="1"/>
  <c r="I59" i="1" s="1"/>
  <c r="K59" i="1" s="1"/>
  <c r="M59" i="1" s="1"/>
  <c r="E64" i="1"/>
  <c r="G64" i="1" s="1"/>
  <c r="E63" i="1"/>
  <c r="G63" i="1" s="1"/>
  <c r="I63" i="1" s="1"/>
  <c r="N62" i="1"/>
  <c r="L62" i="1"/>
  <c r="J62" i="1"/>
  <c r="H62" i="1"/>
  <c r="F62" i="1"/>
  <c r="D62" i="1"/>
  <c r="C62" i="1"/>
  <c r="H6" i="1"/>
  <c r="H51" i="1"/>
  <c r="H46" i="1" s="1"/>
  <c r="H13" i="1"/>
  <c r="K90" i="1" l="1"/>
  <c r="I89" i="1"/>
  <c r="I87" i="1" s="1"/>
  <c r="E62" i="1"/>
  <c r="M88" i="1"/>
  <c r="I64" i="1"/>
  <c r="K64" i="1" s="1"/>
  <c r="M64" i="1" s="1"/>
  <c r="K63" i="1"/>
  <c r="G62" i="1"/>
  <c r="E115" i="1"/>
  <c r="G115" i="1" s="1"/>
  <c r="I115" i="1" s="1"/>
  <c r="K115" i="1" s="1"/>
  <c r="M115" i="1" s="1"/>
  <c r="E114" i="1"/>
  <c r="G114" i="1" s="1"/>
  <c r="I114" i="1" s="1"/>
  <c r="D113" i="1"/>
  <c r="F113" i="1"/>
  <c r="H113" i="1"/>
  <c r="J113" i="1"/>
  <c r="L113" i="1"/>
  <c r="N113" i="1"/>
  <c r="C113" i="1"/>
  <c r="H131" i="1"/>
  <c r="D131" i="1"/>
  <c r="F131" i="1"/>
  <c r="J131" i="1"/>
  <c r="L131" i="1"/>
  <c r="N131" i="1"/>
  <c r="C131" i="1"/>
  <c r="E111" i="1"/>
  <c r="G111" i="1" s="1"/>
  <c r="N110" i="1"/>
  <c r="L110" i="1"/>
  <c r="J110" i="1"/>
  <c r="H110" i="1"/>
  <c r="F110" i="1"/>
  <c r="D110" i="1"/>
  <c r="C110" i="1"/>
  <c r="E155" i="1"/>
  <c r="G155" i="1" s="1"/>
  <c r="I155" i="1" s="1"/>
  <c r="K155" i="1" s="1"/>
  <c r="M155" i="1" s="1"/>
  <c r="N154" i="1"/>
  <c r="L154" i="1"/>
  <c r="J154" i="1"/>
  <c r="H154" i="1"/>
  <c r="F154" i="1"/>
  <c r="D154" i="1"/>
  <c r="C154" i="1"/>
  <c r="C119" i="1"/>
  <c r="E120" i="1"/>
  <c r="G120" i="1" s="1"/>
  <c r="I120" i="1" s="1"/>
  <c r="N119" i="1"/>
  <c r="L119" i="1"/>
  <c r="J119" i="1"/>
  <c r="H119" i="1"/>
  <c r="F119" i="1"/>
  <c r="D119" i="1"/>
  <c r="K89" i="1" l="1"/>
  <c r="K87" i="1" s="1"/>
  <c r="M90" i="1"/>
  <c r="E110" i="1"/>
  <c r="E113" i="1"/>
  <c r="I113" i="1"/>
  <c r="I135" i="1"/>
  <c r="K135" i="1" s="1"/>
  <c r="M63" i="1"/>
  <c r="K62" i="1"/>
  <c r="I62" i="1"/>
  <c r="G113" i="1"/>
  <c r="I111" i="1"/>
  <c r="G110" i="1"/>
  <c r="K114" i="1"/>
  <c r="K113" i="1" s="1"/>
  <c r="E154" i="1"/>
  <c r="G154" i="1" s="1"/>
  <c r="I154" i="1" s="1"/>
  <c r="K154" i="1" s="1"/>
  <c r="E119" i="1"/>
  <c r="G119" i="1"/>
  <c r="K120" i="1"/>
  <c r="I119" i="1"/>
  <c r="H85" i="1"/>
  <c r="M89" i="1" l="1"/>
  <c r="M87" i="1" s="1"/>
  <c r="M154" i="1"/>
  <c r="M62" i="1"/>
  <c r="M135" i="1"/>
  <c r="K111" i="1"/>
  <c r="I110" i="1"/>
  <c r="M114" i="1"/>
  <c r="M113" i="1" s="1"/>
  <c r="K119" i="1"/>
  <c r="M120" i="1"/>
  <c r="F84" i="1"/>
  <c r="F23" i="1"/>
  <c r="F12" i="1"/>
  <c r="F5" i="1"/>
  <c r="E141" i="1"/>
  <c r="G141" i="1" s="1"/>
  <c r="I141" i="1" s="1"/>
  <c r="K141" i="1" s="1"/>
  <c r="M141" i="1" s="1"/>
  <c r="N140" i="1"/>
  <c r="L140" i="1"/>
  <c r="J140" i="1"/>
  <c r="H140" i="1"/>
  <c r="F140" i="1"/>
  <c r="D140" i="1"/>
  <c r="C140" i="1"/>
  <c r="E123" i="1"/>
  <c r="G123" i="1" s="1"/>
  <c r="I123" i="1" s="1"/>
  <c r="K123" i="1" s="1"/>
  <c r="M123" i="1" s="1"/>
  <c r="N122" i="1"/>
  <c r="L122" i="1"/>
  <c r="J122" i="1"/>
  <c r="H122" i="1"/>
  <c r="F122" i="1"/>
  <c r="D122" i="1"/>
  <c r="C122" i="1"/>
  <c r="M111" i="1" l="1"/>
  <c r="K110" i="1"/>
  <c r="E122" i="1"/>
  <c r="G122" i="1" s="1"/>
  <c r="I122" i="1" s="1"/>
  <c r="K122" i="1" s="1"/>
  <c r="M122" i="1" s="1"/>
  <c r="M119" i="1"/>
  <c r="E140" i="1"/>
  <c r="G140" i="1" s="1"/>
  <c r="I140" i="1" s="1"/>
  <c r="K140" i="1" s="1"/>
  <c r="M140" i="1" s="1"/>
  <c r="F126" i="1"/>
  <c r="M110" i="1" l="1"/>
  <c r="E117" i="1"/>
  <c r="G117" i="1" s="1"/>
  <c r="I117" i="1" s="1"/>
  <c r="K117" i="1" s="1"/>
  <c r="M117" i="1" s="1"/>
  <c r="F32" i="1" l="1"/>
  <c r="E152" i="1"/>
  <c r="G152" i="1" s="1"/>
  <c r="I152" i="1" s="1"/>
  <c r="K152" i="1" s="1"/>
  <c r="M152" i="1" s="1"/>
  <c r="N151" i="1"/>
  <c r="L151" i="1"/>
  <c r="J151" i="1"/>
  <c r="H151" i="1"/>
  <c r="F151" i="1"/>
  <c r="D151" i="1"/>
  <c r="C151" i="1"/>
  <c r="E151" i="1" l="1"/>
  <c r="G151" i="1" s="1"/>
  <c r="I151" i="1" s="1"/>
  <c r="K151" i="1" s="1"/>
  <c r="M151" i="1" s="1"/>
  <c r="F85" i="1"/>
  <c r="F24" i="1" l="1"/>
  <c r="F6" i="1"/>
  <c r="D26" i="1"/>
  <c r="F26" i="1"/>
  <c r="H26" i="1"/>
  <c r="J26" i="1"/>
  <c r="L26" i="1"/>
  <c r="N26" i="1"/>
  <c r="C26" i="1"/>
  <c r="F13" i="1"/>
  <c r="E53" i="1"/>
  <c r="G53" i="1" s="1"/>
  <c r="I53" i="1" s="1"/>
  <c r="K53" i="1" s="1"/>
  <c r="M53" i="1" s="1"/>
  <c r="E144" i="1"/>
  <c r="G144" i="1" s="1"/>
  <c r="I144" i="1" s="1"/>
  <c r="K144" i="1" s="1"/>
  <c r="M144" i="1" s="1"/>
  <c r="N143" i="1"/>
  <c r="L143" i="1"/>
  <c r="J143" i="1"/>
  <c r="H143" i="1"/>
  <c r="F143" i="1"/>
  <c r="D143" i="1"/>
  <c r="C143" i="1"/>
  <c r="F51" i="1"/>
  <c r="F46" i="1" s="1"/>
  <c r="E143" i="1" l="1"/>
  <c r="G143" i="1" s="1"/>
  <c r="I143" i="1" s="1"/>
  <c r="K143" i="1" s="1"/>
  <c r="M143" i="1" s="1"/>
  <c r="E51" i="1"/>
  <c r="G51" i="1" s="1"/>
  <c r="I51" i="1" s="1"/>
  <c r="K51" i="1" s="1"/>
  <c r="M51" i="1" s="1"/>
  <c r="E72" i="1"/>
  <c r="G72" i="1" s="1"/>
  <c r="I72" i="1" s="1"/>
  <c r="K72" i="1" s="1"/>
  <c r="M72" i="1" s="1"/>
  <c r="E71" i="1"/>
  <c r="G71" i="1" s="1"/>
  <c r="I71" i="1" s="1"/>
  <c r="K71" i="1" s="1"/>
  <c r="M71" i="1" s="1"/>
  <c r="D70" i="1"/>
  <c r="N70" i="1"/>
  <c r="L70" i="1"/>
  <c r="J70" i="1"/>
  <c r="H70" i="1"/>
  <c r="F70" i="1"/>
  <c r="C70" i="1"/>
  <c r="E45" i="1"/>
  <c r="G45" i="1" s="1"/>
  <c r="I45" i="1" s="1"/>
  <c r="K45" i="1" s="1"/>
  <c r="M45" i="1" s="1"/>
  <c r="E103" i="1"/>
  <c r="G103" i="1" s="1"/>
  <c r="I103" i="1" s="1"/>
  <c r="K103" i="1" s="1"/>
  <c r="M103" i="1" s="1"/>
  <c r="F102" i="1"/>
  <c r="H102" i="1"/>
  <c r="J102" i="1"/>
  <c r="L102" i="1"/>
  <c r="N102" i="1"/>
  <c r="D102" i="1"/>
  <c r="E70" i="1" l="1"/>
  <c r="G70" i="1" s="1"/>
  <c r="I70" i="1" s="1"/>
  <c r="K70" i="1" s="1"/>
  <c r="M70" i="1" s="1"/>
  <c r="F31" i="1"/>
  <c r="H31" i="1"/>
  <c r="J31" i="1"/>
  <c r="L31" i="1"/>
  <c r="N31" i="1"/>
  <c r="C31" i="1"/>
  <c r="E34" i="1"/>
  <c r="G34" i="1" s="1"/>
  <c r="I34" i="1" s="1"/>
  <c r="K34" i="1" s="1"/>
  <c r="M34" i="1" s="1"/>
  <c r="E35" i="1"/>
  <c r="G35" i="1" s="1"/>
  <c r="I35" i="1" s="1"/>
  <c r="K35" i="1" s="1"/>
  <c r="M35" i="1" s="1"/>
  <c r="E36" i="1"/>
  <c r="G36" i="1" s="1"/>
  <c r="I36" i="1" s="1"/>
  <c r="K36" i="1" s="1"/>
  <c r="M36" i="1" s="1"/>
  <c r="E37" i="1"/>
  <c r="G37" i="1" s="1"/>
  <c r="I37" i="1" s="1"/>
  <c r="K37" i="1" s="1"/>
  <c r="M37" i="1" s="1"/>
  <c r="E38" i="1"/>
  <c r="G38" i="1" s="1"/>
  <c r="I38" i="1" s="1"/>
  <c r="K38" i="1" s="1"/>
  <c r="M38" i="1" s="1"/>
  <c r="E42" i="1"/>
  <c r="E43" i="1"/>
  <c r="G43" i="1" s="1"/>
  <c r="I43" i="1" s="1"/>
  <c r="K43" i="1" s="1"/>
  <c r="M43" i="1" s="1"/>
  <c r="E44" i="1"/>
  <c r="G44" i="1" s="1"/>
  <c r="I44" i="1" s="1"/>
  <c r="K44" i="1" s="1"/>
  <c r="M44" i="1" s="1"/>
  <c r="E50" i="1"/>
  <c r="G50" i="1" s="1"/>
  <c r="I50" i="1" s="1"/>
  <c r="K50" i="1" s="1"/>
  <c r="M50" i="1" s="1"/>
  <c r="E57" i="1"/>
  <c r="E56" i="1" s="1"/>
  <c r="D33" i="1"/>
  <c r="F33" i="1"/>
  <c r="H33" i="1"/>
  <c r="J33" i="1"/>
  <c r="L33" i="1"/>
  <c r="N33" i="1"/>
  <c r="C33" i="1"/>
  <c r="E163" i="1"/>
  <c r="G163" i="1" s="1"/>
  <c r="I163" i="1" s="1"/>
  <c r="K163" i="1" s="1"/>
  <c r="M163" i="1" s="1"/>
  <c r="E164" i="1"/>
  <c r="G164" i="1" s="1"/>
  <c r="I164" i="1" s="1"/>
  <c r="K164" i="1" s="1"/>
  <c r="M164" i="1" s="1"/>
  <c r="D84" i="1"/>
  <c r="E84" i="1" s="1"/>
  <c r="G84" i="1" s="1"/>
  <c r="I84" i="1" s="1"/>
  <c r="K84" i="1" s="1"/>
  <c r="M84" i="1" s="1"/>
  <c r="E85" i="1"/>
  <c r="G85" i="1" s="1"/>
  <c r="I85" i="1" s="1"/>
  <c r="K85" i="1" s="1"/>
  <c r="M85" i="1" s="1"/>
  <c r="N83" i="1"/>
  <c r="L83" i="1"/>
  <c r="J83" i="1"/>
  <c r="H83" i="1"/>
  <c r="F83" i="1"/>
  <c r="C83" i="1"/>
  <c r="D126" i="1"/>
  <c r="E81" i="1"/>
  <c r="G81" i="1" s="1"/>
  <c r="I81" i="1" s="1"/>
  <c r="K81" i="1" s="1"/>
  <c r="M81" i="1" s="1"/>
  <c r="N80" i="1"/>
  <c r="L80" i="1"/>
  <c r="J80" i="1"/>
  <c r="H80" i="1"/>
  <c r="F80" i="1"/>
  <c r="D80" i="1"/>
  <c r="C80" i="1"/>
  <c r="E162" i="1"/>
  <c r="E28" i="1"/>
  <c r="G28" i="1" s="1"/>
  <c r="I28" i="1" s="1"/>
  <c r="K28" i="1" s="1"/>
  <c r="M28" i="1" s="1"/>
  <c r="E27" i="1"/>
  <c r="G27" i="1" s="1"/>
  <c r="E75" i="1"/>
  <c r="G75" i="1" s="1"/>
  <c r="I75" i="1" s="1"/>
  <c r="K75" i="1" s="1"/>
  <c r="M75" i="1" s="1"/>
  <c r="N74" i="1"/>
  <c r="L74" i="1"/>
  <c r="J74" i="1"/>
  <c r="H74" i="1"/>
  <c r="F74" i="1"/>
  <c r="D74" i="1"/>
  <c r="C74" i="1"/>
  <c r="D32" i="1"/>
  <c r="D31" i="1" s="1"/>
  <c r="D48" i="1"/>
  <c r="E48" i="1" s="1"/>
  <c r="G48" i="1" s="1"/>
  <c r="I48" i="1" s="1"/>
  <c r="K48" i="1" s="1"/>
  <c r="M48" i="1" s="1"/>
  <c r="E78" i="1"/>
  <c r="G78" i="1" s="1"/>
  <c r="I78" i="1" s="1"/>
  <c r="K78" i="1" s="1"/>
  <c r="M78" i="1" s="1"/>
  <c r="N77" i="1"/>
  <c r="L77" i="1"/>
  <c r="J77" i="1"/>
  <c r="H77" i="1"/>
  <c r="F77" i="1"/>
  <c r="D77" i="1"/>
  <c r="C77" i="1"/>
  <c r="C102" i="1"/>
  <c r="E104" i="1"/>
  <c r="D47" i="1"/>
  <c r="E149" i="1"/>
  <c r="G149" i="1" s="1"/>
  <c r="I149" i="1" s="1"/>
  <c r="K149" i="1" s="1"/>
  <c r="M149" i="1" s="1"/>
  <c r="N125" i="1"/>
  <c r="L125" i="1"/>
  <c r="J125" i="1"/>
  <c r="H125" i="1"/>
  <c r="F125" i="1"/>
  <c r="D125" i="1"/>
  <c r="C125" i="1"/>
  <c r="D46" i="1" l="1"/>
  <c r="L30" i="1"/>
  <c r="H30" i="1"/>
  <c r="D30" i="1"/>
  <c r="E161" i="1"/>
  <c r="C30" i="1"/>
  <c r="N30" i="1"/>
  <c r="J30" i="1"/>
  <c r="F30" i="1"/>
  <c r="G42" i="1"/>
  <c r="E41" i="1"/>
  <c r="E126" i="1"/>
  <c r="G126" i="1" s="1"/>
  <c r="I126" i="1" s="1"/>
  <c r="K126" i="1" s="1"/>
  <c r="M126" i="1" s="1"/>
  <c r="E74" i="1"/>
  <c r="G74" i="1" s="1"/>
  <c r="I74" i="1" s="1"/>
  <c r="K74" i="1" s="1"/>
  <c r="M74" i="1" s="1"/>
  <c r="G57" i="1"/>
  <c r="G56" i="1" s="1"/>
  <c r="D83" i="1"/>
  <c r="E102" i="1"/>
  <c r="G104" i="1"/>
  <c r="E33" i="1"/>
  <c r="I27" i="1"/>
  <c r="G26" i="1"/>
  <c r="E32" i="1"/>
  <c r="E77" i="1"/>
  <c r="G77" i="1" s="1"/>
  <c r="I77" i="1" s="1"/>
  <c r="K77" i="1" s="1"/>
  <c r="M77" i="1" s="1"/>
  <c r="E26" i="1"/>
  <c r="E47" i="1"/>
  <c r="E46" i="1" s="1"/>
  <c r="G162" i="1"/>
  <c r="G33" i="1"/>
  <c r="E83" i="1"/>
  <c r="G83" i="1" s="1"/>
  <c r="I83" i="1" s="1"/>
  <c r="E80" i="1"/>
  <c r="G80" i="1" s="1"/>
  <c r="I80" i="1" s="1"/>
  <c r="K80" i="1" s="1"/>
  <c r="M80" i="1" s="1"/>
  <c r="E125" i="1"/>
  <c r="G125" i="1" s="1"/>
  <c r="I125" i="1" s="1"/>
  <c r="K125" i="1" s="1"/>
  <c r="M125" i="1" s="1"/>
  <c r="E132" i="1"/>
  <c r="E20" i="1"/>
  <c r="E19" i="1"/>
  <c r="G19" i="1" s="1"/>
  <c r="D18" i="1"/>
  <c r="F18" i="1"/>
  <c r="H18" i="1"/>
  <c r="J18" i="1"/>
  <c r="L18" i="1"/>
  <c r="N18" i="1"/>
  <c r="C18" i="1"/>
  <c r="N22" i="1"/>
  <c r="L22" i="1"/>
  <c r="J22" i="1"/>
  <c r="H22" i="1"/>
  <c r="F22" i="1"/>
  <c r="E24" i="1"/>
  <c r="G24" i="1" s="1"/>
  <c r="I24" i="1" s="1"/>
  <c r="K24" i="1" s="1"/>
  <c r="M24" i="1" s="1"/>
  <c r="E23" i="1"/>
  <c r="G23" i="1" s="1"/>
  <c r="I23" i="1" s="1"/>
  <c r="K23" i="1" s="1"/>
  <c r="M23" i="1" s="1"/>
  <c r="D22" i="1"/>
  <c r="C22" i="1"/>
  <c r="N15" i="1"/>
  <c r="L15" i="1"/>
  <c r="J15" i="1"/>
  <c r="H15" i="1"/>
  <c r="F15" i="1"/>
  <c r="E16" i="1"/>
  <c r="G16" i="1" s="1"/>
  <c r="I16" i="1" s="1"/>
  <c r="K16" i="1" s="1"/>
  <c r="M16" i="1" s="1"/>
  <c r="D15" i="1"/>
  <c r="C15" i="1"/>
  <c r="N11" i="1"/>
  <c r="L11" i="1"/>
  <c r="J11" i="1"/>
  <c r="H11" i="1"/>
  <c r="F11" i="1"/>
  <c r="E13" i="1"/>
  <c r="G13" i="1" s="1"/>
  <c r="I13" i="1" s="1"/>
  <c r="K13" i="1" s="1"/>
  <c r="M13" i="1" s="1"/>
  <c r="E12" i="1"/>
  <c r="G12" i="1" s="1"/>
  <c r="I12" i="1" s="1"/>
  <c r="K12" i="1" s="1"/>
  <c r="M12" i="1" s="1"/>
  <c r="D11" i="1"/>
  <c r="C11" i="1"/>
  <c r="N8" i="1"/>
  <c r="L8" i="1"/>
  <c r="J8" i="1"/>
  <c r="H8" i="1"/>
  <c r="F8" i="1"/>
  <c r="E9" i="1"/>
  <c r="G9" i="1" s="1"/>
  <c r="D8" i="1"/>
  <c r="N4" i="1"/>
  <c r="L4" i="1"/>
  <c r="J4" i="1"/>
  <c r="H4" i="1"/>
  <c r="F4" i="1"/>
  <c r="E6" i="1"/>
  <c r="G6" i="1" s="1"/>
  <c r="I6" i="1" s="1"/>
  <c r="K6" i="1" s="1"/>
  <c r="M6" i="1" s="1"/>
  <c r="E5" i="1"/>
  <c r="G5" i="1" s="1"/>
  <c r="I5" i="1" s="1"/>
  <c r="K5" i="1" s="1"/>
  <c r="M5" i="1" s="1"/>
  <c r="D4" i="1"/>
  <c r="C4" i="1"/>
  <c r="J168" i="1" l="1"/>
  <c r="C168" i="1"/>
  <c r="D168" i="1"/>
  <c r="L168" i="1"/>
  <c r="F168" i="1"/>
  <c r="N168" i="1"/>
  <c r="H168" i="1"/>
  <c r="I33" i="1"/>
  <c r="I42" i="1"/>
  <c r="G41" i="1"/>
  <c r="I162" i="1"/>
  <c r="G161" i="1"/>
  <c r="I57" i="1"/>
  <c r="I56" i="1" s="1"/>
  <c r="G132" i="1"/>
  <c r="E131" i="1"/>
  <c r="K83" i="1"/>
  <c r="I104" i="1"/>
  <c r="G102" i="1"/>
  <c r="G47" i="1"/>
  <c r="G46" i="1" s="1"/>
  <c r="E31" i="1"/>
  <c r="E30" i="1" s="1"/>
  <c r="G32" i="1"/>
  <c r="K27" i="1"/>
  <c r="I26" i="1"/>
  <c r="E18" i="1"/>
  <c r="I19" i="1"/>
  <c r="G20" i="1"/>
  <c r="I20" i="1" s="1"/>
  <c r="K20" i="1" s="1"/>
  <c r="M20" i="1" s="1"/>
  <c r="E15" i="1"/>
  <c r="G15" i="1" s="1"/>
  <c r="I15" i="1" s="1"/>
  <c r="K15" i="1" s="1"/>
  <c r="M15" i="1" s="1"/>
  <c r="G8" i="1"/>
  <c r="I9" i="1"/>
  <c r="E8" i="1"/>
  <c r="K33" i="1" l="1"/>
  <c r="K42" i="1"/>
  <c r="I41" i="1"/>
  <c r="K162" i="1"/>
  <c r="I161" i="1"/>
  <c r="K57" i="1"/>
  <c r="K56" i="1" s="1"/>
  <c r="I132" i="1"/>
  <c r="G131" i="1"/>
  <c r="M83" i="1"/>
  <c r="K104" i="1"/>
  <c r="I102" i="1"/>
  <c r="G31" i="1"/>
  <c r="G30" i="1" s="1"/>
  <c r="I32" i="1"/>
  <c r="M27" i="1"/>
  <c r="K26" i="1"/>
  <c r="I47" i="1"/>
  <c r="I46" i="1" s="1"/>
  <c r="G18" i="1"/>
  <c r="K19" i="1"/>
  <c r="I18" i="1"/>
  <c r="I8" i="1"/>
  <c r="K9" i="1"/>
  <c r="M33" i="1" l="1"/>
  <c r="M42" i="1"/>
  <c r="K41" i="1"/>
  <c r="M162" i="1"/>
  <c r="K161" i="1"/>
  <c r="M57" i="1"/>
  <c r="M56" i="1" s="1"/>
  <c r="K132" i="1"/>
  <c r="I131" i="1"/>
  <c r="M104" i="1"/>
  <c r="K102" i="1"/>
  <c r="I31" i="1"/>
  <c r="I30" i="1" s="1"/>
  <c r="K32" i="1"/>
  <c r="K47" i="1"/>
  <c r="K46" i="1" s="1"/>
  <c r="M26" i="1"/>
  <c r="M19" i="1"/>
  <c r="K18" i="1"/>
  <c r="K8" i="1"/>
  <c r="M9" i="1"/>
  <c r="M41" i="1" l="1"/>
  <c r="M161" i="1"/>
  <c r="M132" i="1"/>
  <c r="K131" i="1"/>
  <c r="M102" i="1"/>
  <c r="K31" i="1"/>
  <c r="K30" i="1" s="1"/>
  <c r="M32" i="1"/>
  <c r="M47" i="1"/>
  <c r="M46" i="1" s="1"/>
  <c r="M18" i="1"/>
  <c r="M8" i="1"/>
  <c r="M131" i="1" l="1"/>
  <c r="M31" i="1"/>
  <c r="M30" i="1" s="1"/>
  <c r="E11" i="1" l="1"/>
  <c r="G11" i="1" s="1"/>
  <c r="E4" i="1"/>
  <c r="G4" i="1" s="1"/>
  <c r="I4" i="1" s="1"/>
  <c r="K4" i="1" s="1"/>
  <c r="M4" i="1" s="1"/>
  <c r="I11" i="1" l="1"/>
  <c r="E22" i="1"/>
  <c r="E168" i="1" s="1"/>
  <c r="G22" i="1" l="1"/>
  <c r="G168" i="1" s="1"/>
  <c r="K11" i="1"/>
  <c r="I22" i="1" l="1"/>
  <c r="I168" i="1" s="1"/>
  <c r="M11" i="1"/>
  <c r="K22" i="1" l="1"/>
  <c r="K168" i="1" s="1"/>
  <c r="M22" i="1" l="1"/>
  <c r="M168" i="1" s="1"/>
</calcChain>
</file>

<file path=xl/sharedStrings.xml><?xml version="1.0" encoding="utf-8"?>
<sst xmlns="http://schemas.openxmlformats.org/spreadsheetml/2006/main" count="185" uniqueCount="132">
  <si>
    <t>Раздел</t>
  </si>
  <si>
    <t>январь</t>
  </si>
  <si>
    <t>КОСГУ</t>
  </si>
  <si>
    <t>февраль</t>
  </si>
  <si>
    <t>с нач. года</t>
  </si>
  <si>
    <t>март</t>
  </si>
  <si>
    <t>апрель</t>
  </si>
  <si>
    <t>май</t>
  </si>
  <si>
    <t>июнь</t>
  </si>
  <si>
    <t>июль</t>
  </si>
  <si>
    <t xml:space="preserve">Раздел </t>
  </si>
  <si>
    <t>0102 9018025 121 (Глава)</t>
  </si>
  <si>
    <t>Заработная плата</t>
  </si>
  <si>
    <t>Суточные</t>
  </si>
  <si>
    <t>Страховые взносы</t>
  </si>
  <si>
    <t>0102 9018025 122 (Глава)</t>
  </si>
  <si>
    <t>0103 9018021 121 (Совет депутатов)</t>
  </si>
  <si>
    <t>0103 9018021 122 (Совет депутатов)</t>
  </si>
  <si>
    <t>0103 9018021 244 (Совет депутатов)</t>
  </si>
  <si>
    <t>0104 9018021 121 (Штат)</t>
  </si>
  <si>
    <t>0104 9018021 122 (Штат)</t>
  </si>
  <si>
    <t>0104 9018021 244 (Штат)</t>
  </si>
  <si>
    <t>Проезд поездом, автобусом</t>
  </si>
  <si>
    <t>Уличное освещение</t>
  </si>
  <si>
    <t>Электроэнергия</t>
  </si>
  <si>
    <t>Бензин марки АИ-92</t>
  </si>
  <si>
    <t>0503 0138103 244 (Уличное освещение)</t>
  </si>
  <si>
    <t>0801 0218062 611 (Субсидия ДК)</t>
  </si>
  <si>
    <t>Установка ОДПУ по тепловой энергии</t>
  </si>
  <si>
    <t>Установка ОДПУ по холодной воде</t>
  </si>
  <si>
    <t>Текущие ремонты и тех. обслуживание</t>
  </si>
  <si>
    <t>Охрана общественного порядка</t>
  </si>
  <si>
    <t>0113 9018023 244 (Прочие)</t>
  </si>
  <si>
    <t>Расчистка полигона от ТБО</t>
  </si>
  <si>
    <t>0503 0118116 244 (Благоустройство)</t>
  </si>
  <si>
    <t>Предрейсовый медицинский осмотр</t>
  </si>
  <si>
    <t>Целевой взнос</t>
  </si>
  <si>
    <t>0113 9018022 852 (Членские взносы)</t>
  </si>
  <si>
    <t>0314 0158205 244 (Профилактика терроризма)</t>
  </si>
  <si>
    <t>1105 0228081 244 (Спортивные мероприятия)</t>
  </si>
  <si>
    <t>Техническая инвентаризация</t>
  </si>
  <si>
    <t>0113 9018085 244 (Оформление имущества)</t>
  </si>
  <si>
    <t>0203 9025118 121 (ВУС)</t>
  </si>
  <si>
    <t>0203 9025118 244 (ВУС)</t>
  </si>
  <si>
    <t>Подарочные наборы (Лыжня России)</t>
  </si>
  <si>
    <t>Подарочные наборы (Волейбол к 8 марта)</t>
  </si>
  <si>
    <t>Подарочные наборы (Гири среди школьн.)</t>
  </si>
  <si>
    <t>Итого 223</t>
  </si>
  <si>
    <t>Итого 225</t>
  </si>
  <si>
    <t>Итого 226</t>
  </si>
  <si>
    <t>Итого 340</t>
  </si>
  <si>
    <t>Итого 221</t>
  </si>
  <si>
    <t>Обслуживание системы видеонаблюдения</t>
  </si>
  <si>
    <t>Ремонт и обслуживание оргтехники</t>
  </si>
  <si>
    <t>0113 0138502 244 (Энергосбережение)</t>
  </si>
  <si>
    <t>Установка приборов водоснабжения</t>
  </si>
  <si>
    <t>Приборы учета хол. и гор. водоснабжения</t>
  </si>
  <si>
    <t>226</t>
  </si>
  <si>
    <t>Заработная плата по договорам</t>
  </si>
  <si>
    <t>Лампы светодиодные</t>
  </si>
  <si>
    <t>0503 0138502 244 (Энергосбережение)</t>
  </si>
  <si>
    <t>Оплата семинара</t>
  </si>
  <si>
    <t>ХВС, ГВС, Водоотведение (Гараж) №3369</t>
  </si>
  <si>
    <t>ХВС, ГВС, Водоотведение (Администрация) №3368</t>
  </si>
  <si>
    <t>Тепловая энергия (Администрация) №3347</t>
  </si>
  <si>
    <t>0801 0218063 244 (Библиотека)</t>
  </si>
  <si>
    <t>0412 9048303 540 (Градостроительство)</t>
  </si>
  <si>
    <t>Тепловая энергия (Гараж) №3348</t>
  </si>
  <si>
    <t>Ремонт колонок</t>
  </si>
  <si>
    <t>0502 0118025 244 (Коммунальное хозяйство)</t>
  </si>
  <si>
    <t>0503 0138113 244 (Уличное освещение)</t>
  </si>
  <si>
    <t>Изготовление межевого плана</t>
  </si>
  <si>
    <t>0412 9048309 244 (Землеустройство)</t>
  </si>
  <si>
    <t>Подарочные наборы и сувениры</t>
  </si>
  <si>
    <t>0801 0218064 244 (Праздничные мероприятия)</t>
  </si>
  <si>
    <t>Содержание дорог в зимний период</t>
  </si>
  <si>
    <t>0409 0168203 244 (Содержание дорог)</t>
  </si>
  <si>
    <t>0409 0168102 244 (Содержание дорог)</t>
  </si>
  <si>
    <t>Содержание дорог в весенний период</t>
  </si>
  <si>
    <t>Плата за размещение отходов</t>
  </si>
  <si>
    <t>Плата за выбросы в атмосферный воздух</t>
  </si>
  <si>
    <t>0104 9018021 852 (Целевые взносы)</t>
  </si>
  <si>
    <t>Автомобильное масло</t>
  </si>
  <si>
    <t>Запчасти на автомобиль</t>
  </si>
  <si>
    <t>0503 0118115 244 (Содержание мест захоронения)</t>
  </si>
  <si>
    <t>(Очистка от снега и подсыпка щебнем)</t>
  </si>
  <si>
    <t>Подарочные наборы (Настольный теннис)</t>
  </si>
  <si>
    <t>Подарочные наборы (Пауэрлифтинг)</t>
  </si>
  <si>
    <t>Канцелярские товары</t>
  </si>
  <si>
    <t>Итого 310</t>
  </si>
  <si>
    <t>Знамя РФ</t>
  </si>
  <si>
    <t>Содержание свалки в с.Поначево</t>
  </si>
  <si>
    <t>Устройство минер. защитных против. полос с.Поначево</t>
  </si>
  <si>
    <t>0310 0148204 244 (Пожарная безопасность)</t>
  </si>
  <si>
    <t>Вывоз мусора трактором МТЗ-82</t>
  </si>
  <si>
    <t>Зооэнтомологическое обследование</t>
  </si>
  <si>
    <t>Акарицидная обработка</t>
  </si>
  <si>
    <t>0909 9098555 244 (Акарицидная обработка)</t>
  </si>
  <si>
    <t>Бумага и картридж</t>
  </si>
  <si>
    <t>0113 9017514 244 (Административная комиссия)</t>
  </si>
  <si>
    <t>Итого 224</t>
  </si>
  <si>
    <t>Знаки дорожные</t>
  </si>
  <si>
    <t>0409 0128213 244 (Проект дорожного движения)</t>
  </si>
  <si>
    <t>Монтаж знаков дорожных</t>
  </si>
  <si>
    <t>0503 0118357 244 (Благоустройство)</t>
  </si>
  <si>
    <t>Договоры по благоустройству с ЦЗ</t>
  </si>
  <si>
    <t>221</t>
  </si>
  <si>
    <t>ОАО "Ростелеком" (услуги связи)</t>
  </si>
  <si>
    <t>0801 0211021 611 (Региональные выплаты до МРОТ)</t>
  </si>
  <si>
    <t xml:space="preserve">Кассовые расходы за 2014 год </t>
  </si>
  <si>
    <t>1квартал</t>
  </si>
  <si>
    <t>Подар. наборы (Эстафета на День Победы)</t>
  </si>
  <si>
    <t>Услуги связи   ОАО "Ростелеком"</t>
  </si>
  <si>
    <t>Субсидия на выполнение муницип.задания</t>
  </si>
  <si>
    <t>Замена ламп уличного освещения</t>
  </si>
  <si>
    <t>Техническое обслужив. пожарной сигнализации</t>
  </si>
  <si>
    <t>Подписка газет на 2 полугодие</t>
  </si>
  <si>
    <t>Услуги связи    ОАО "Ростелеком"</t>
  </si>
  <si>
    <t>Страхование автомобиля ООО "Росгосстрах"</t>
  </si>
  <si>
    <t>Обслуживание КонсультантПлюс</t>
  </si>
  <si>
    <t xml:space="preserve">Аренда Оборудования ONT (для интернет) </t>
  </si>
  <si>
    <t>Услуги сязи ОАО "Ростелеком"</t>
  </si>
  <si>
    <t>Обновление Программного Обеспечения</t>
  </si>
  <si>
    <t>Тепловая энергия (муницип.имущество) №3367</t>
  </si>
  <si>
    <t>Подписка газет и журналов на 2 полугодие</t>
  </si>
  <si>
    <t>Всего   расходов</t>
  </si>
  <si>
    <t>с нач. года,руб.</t>
  </si>
  <si>
    <t>Наименование направления расходов</t>
  </si>
  <si>
    <t>Глава поселка</t>
  </si>
  <si>
    <t>Главный бухгалтер</t>
  </si>
  <si>
    <t>С.Р.Бланк</t>
  </si>
  <si>
    <t>Н.Н.Корнева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</si>
</sst>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7FDA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2" fillId="0" borderId="1" xfId="0" applyFon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2" fontId="0" fillId="2" borderId="1" xfId="0" applyNumberFormat="1" applyFill="1" applyBorder="1" applyAlignment="1">
      <alignment horizontal="right" vertical="center"/>
    </xf>
    <xf numFmtId="2" fontId="13" fillId="2" borderId="1" xfId="0" applyNumberFormat="1" applyFont="1" applyFill="1" applyBorder="1"/>
    <xf numFmtId="0" fontId="11" fillId="0" borderId="1" xfId="0" applyFont="1" applyBorder="1"/>
    <xf numFmtId="2" fontId="11" fillId="0" borderId="1" xfId="0" applyNumberFormat="1" applyFont="1" applyBorder="1" applyAlignment="1">
      <alignment horizontal="right" vertical="center"/>
    </xf>
    <xf numFmtId="0" fontId="13" fillId="3" borderId="1" xfId="0" applyFont="1" applyFill="1" applyBorder="1"/>
    <xf numFmtId="0" fontId="0" fillId="3" borderId="1" xfId="0" applyFill="1" applyBorder="1"/>
    <xf numFmtId="2" fontId="13" fillId="3" borderId="1" xfId="0" applyNumberFormat="1" applyFont="1" applyFill="1" applyBorder="1" applyAlignment="1">
      <alignment horizontal="right" vertical="center"/>
    </xf>
    <xf numFmtId="2" fontId="13" fillId="3" borderId="1" xfId="0" applyNumberFormat="1" applyFont="1" applyFill="1" applyBorder="1"/>
    <xf numFmtId="0" fontId="13" fillId="4" borderId="1" xfId="0" applyFont="1" applyFill="1" applyBorder="1"/>
    <xf numFmtId="0" fontId="0" fillId="4" borderId="1" xfId="0" applyFill="1" applyBorder="1"/>
    <xf numFmtId="2" fontId="13" fillId="4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0" fillId="0" borderId="1" xfId="0" applyFont="1" applyFill="1" applyBorder="1"/>
    <xf numFmtId="2" fontId="13" fillId="7" borderId="1" xfId="0" applyNumberFormat="1" applyFont="1" applyFill="1" applyBorder="1"/>
    <xf numFmtId="0" fontId="10" fillId="8" borderId="1" xfId="0" applyFont="1" applyFill="1" applyBorder="1"/>
    <xf numFmtId="2" fontId="10" fillId="0" borderId="1" xfId="0" applyNumberFormat="1" applyFont="1" applyFill="1" applyBorder="1" applyAlignment="1">
      <alignment horizontal="right" vertical="center"/>
    </xf>
    <xf numFmtId="2" fontId="13" fillId="2" borderId="1" xfId="0" applyNumberFormat="1" applyFont="1" applyFill="1" applyBorder="1" applyAlignment="1">
      <alignment horizontal="right" vertical="center"/>
    </xf>
    <xf numFmtId="2" fontId="13" fillId="6" borderId="1" xfId="0" applyNumberFormat="1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0" fontId="13" fillId="9" borderId="1" xfId="0" applyFont="1" applyFill="1" applyBorder="1"/>
    <xf numFmtId="0" fontId="0" fillId="9" borderId="1" xfId="0" applyFill="1" applyBorder="1"/>
    <xf numFmtId="2" fontId="13" fillId="9" borderId="1" xfId="0" applyNumberFormat="1" applyFont="1" applyFill="1" applyBorder="1"/>
    <xf numFmtId="2" fontId="13" fillId="0" borderId="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 vertical="center"/>
    </xf>
    <xf numFmtId="0" fontId="0" fillId="0" borderId="2" xfId="0" applyBorder="1"/>
    <xf numFmtId="49" fontId="9" fillId="0" borderId="2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right"/>
    </xf>
    <xf numFmtId="2" fontId="13" fillId="8" borderId="1" xfId="0" applyNumberFormat="1" applyFont="1" applyFill="1" applyBorder="1" applyAlignment="1">
      <alignment horizontal="right" vertical="center"/>
    </xf>
    <xf numFmtId="2" fontId="13" fillId="10" borderId="1" xfId="0" applyNumberFormat="1" applyFont="1" applyFill="1" applyBorder="1" applyAlignment="1">
      <alignment horizontal="right" vertical="center"/>
    </xf>
    <xf numFmtId="2" fontId="13" fillId="5" borderId="1" xfId="0" applyNumberFormat="1" applyFont="1" applyFill="1" applyBorder="1"/>
    <xf numFmtId="0" fontId="8" fillId="0" borderId="2" xfId="0" applyFont="1" applyFill="1" applyBorder="1" applyAlignment="1">
      <alignment horizontal="left"/>
    </xf>
    <xf numFmtId="2" fontId="13" fillId="9" borderId="1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/>
    </xf>
    <xf numFmtId="0" fontId="7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13" fillId="11" borderId="1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4" xfId="0" applyNumberFormat="1" applyFont="1" applyFill="1" applyBorder="1" applyAlignment="1">
      <alignment horizontal="right"/>
    </xf>
    <xf numFmtId="0" fontId="0" fillId="12" borderId="1" xfId="0" applyFill="1" applyBorder="1"/>
    <xf numFmtId="2" fontId="0" fillId="12" borderId="1" xfId="0" applyNumberFormat="1" applyFill="1" applyBorder="1" applyAlignment="1">
      <alignment horizontal="right" vertical="center"/>
    </xf>
    <xf numFmtId="2" fontId="6" fillId="12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/>
    </xf>
    <xf numFmtId="0" fontId="1" fillId="0" borderId="1" xfId="0" applyFont="1" applyFill="1" applyBorder="1"/>
    <xf numFmtId="0" fontId="1" fillId="8" borderId="1" xfId="0" applyFont="1" applyFill="1" applyBorder="1"/>
    <xf numFmtId="0" fontId="13" fillId="2" borderId="2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10" borderId="2" xfId="0" applyFont="1" applyFill="1" applyBorder="1" applyAlignment="1">
      <alignment horizontal="left"/>
    </xf>
    <xf numFmtId="0" fontId="13" fillId="10" borderId="4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14" fillId="0" borderId="9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left"/>
    </xf>
    <xf numFmtId="49" fontId="13" fillId="2" borderId="2" xfId="0" applyNumberFormat="1" applyFont="1" applyFill="1" applyBorder="1" applyAlignment="1">
      <alignment horizontal="left"/>
    </xf>
    <xf numFmtId="49" fontId="13" fillId="2" borderId="4" xfId="0" applyNumberFormat="1" applyFont="1" applyFill="1" applyBorder="1" applyAlignment="1">
      <alignment horizontal="left"/>
    </xf>
    <xf numFmtId="0" fontId="13" fillId="4" borderId="2" xfId="0" applyFont="1" applyFill="1" applyBorder="1" applyAlignment="1">
      <alignment horizontal="right"/>
    </xf>
    <xf numFmtId="0" fontId="13" fillId="4" borderId="4" xfId="0" applyFont="1" applyFill="1" applyBorder="1" applyAlignment="1">
      <alignment horizontal="right"/>
    </xf>
    <xf numFmtId="0" fontId="13" fillId="9" borderId="2" xfId="0" applyFont="1" applyFill="1" applyBorder="1" applyAlignment="1">
      <alignment horizontal="left"/>
    </xf>
    <xf numFmtId="0" fontId="13" fillId="9" borderId="3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/>
    </xf>
    <xf numFmtId="0" fontId="13" fillId="6" borderId="3" xfId="0" applyFont="1" applyFill="1" applyBorder="1" applyAlignment="1">
      <alignment horizontal="left"/>
    </xf>
    <xf numFmtId="49" fontId="13" fillId="6" borderId="2" xfId="0" applyNumberFormat="1" applyFont="1" applyFill="1" applyBorder="1" applyAlignment="1">
      <alignment horizontal="left"/>
    </xf>
    <xf numFmtId="49" fontId="13" fillId="6" borderId="4" xfId="0" applyNumberFormat="1" applyFont="1" applyFill="1" applyBorder="1" applyAlignment="1">
      <alignment horizontal="left"/>
    </xf>
    <xf numFmtId="0" fontId="13" fillId="5" borderId="2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9" borderId="5" xfId="0" applyFont="1" applyFill="1" applyBorder="1" applyAlignment="1">
      <alignment horizontal="left"/>
    </xf>
    <xf numFmtId="0" fontId="13" fillId="9" borderId="6" xfId="0" applyFont="1" applyFill="1" applyBorder="1" applyAlignment="1">
      <alignment horizontal="left"/>
    </xf>
    <xf numFmtId="0" fontId="13" fillId="5" borderId="5" xfId="0" applyFont="1" applyFill="1" applyBorder="1" applyAlignment="1">
      <alignment horizontal="left"/>
    </xf>
    <xf numFmtId="0" fontId="13" fillId="5" borderId="6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49" fontId="13" fillId="5" borderId="2" xfId="0" applyNumberFormat="1" applyFont="1" applyFill="1" applyBorder="1" applyAlignment="1">
      <alignment horizontal="left"/>
    </xf>
    <xf numFmtId="49" fontId="13" fillId="5" borderId="4" xfId="0" applyNumberFormat="1" applyFont="1" applyFill="1" applyBorder="1" applyAlignment="1">
      <alignment horizontal="left"/>
    </xf>
    <xf numFmtId="49" fontId="13" fillId="4" borderId="2" xfId="0" applyNumberFormat="1" applyFont="1" applyFill="1" applyBorder="1" applyAlignment="1">
      <alignment horizontal="left"/>
    </xf>
    <xf numFmtId="49" fontId="13" fillId="4" borderId="4" xfId="0" applyNumberFormat="1" applyFont="1" applyFill="1" applyBorder="1" applyAlignment="1">
      <alignment horizontal="left"/>
    </xf>
    <xf numFmtId="0" fontId="13" fillId="7" borderId="5" xfId="0" applyFont="1" applyFill="1" applyBorder="1" applyAlignment="1">
      <alignment horizontal="left"/>
    </xf>
    <xf numFmtId="0" fontId="13" fillId="7" borderId="6" xfId="0" applyFont="1" applyFill="1" applyBorder="1" applyAlignment="1">
      <alignment horizontal="left"/>
    </xf>
    <xf numFmtId="0" fontId="13" fillId="6" borderId="4" xfId="0" applyFont="1" applyFill="1" applyBorder="1" applyAlignment="1">
      <alignment horizontal="left"/>
    </xf>
    <xf numFmtId="0" fontId="13" fillId="6" borderId="5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left"/>
    </xf>
    <xf numFmtId="0" fontId="13" fillId="7" borderId="2" xfId="0" applyFont="1" applyFill="1" applyBorder="1" applyAlignment="1">
      <alignment horizontal="left"/>
    </xf>
    <xf numFmtId="0" fontId="13" fillId="7" borderId="4" xfId="0" applyFont="1" applyFill="1" applyBorder="1" applyAlignment="1">
      <alignment horizontal="left"/>
    </xf>
    <xf numFmtId="0" fontId="13" fillId="10" borderId="3" xfId="0" applyFont="1" applyFill="1" applyBorder="1" applyAlignment="1">
      <alignment horizontal="left"/>
    </xf>
    <xf numFmtId="0" fontId="13" fillId="9" borderId="4" xfId="0" applyFont="1" applyFill="1" applyBorder="1" applyAlignment="1">
      <alignment horizontal="left"/>
    </xf>
    <xf numFmtId="0" fontId="13" fillId="10" borderId="5" xfId="0" applyFont="1" applyFill="1" applyBorder="1" applyAlignment="1">
      <alignment horizontal="left"/>
    </xf>
    <xf numFmtId="0" fontId="13" fillId="10" borderId="6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right"/>
    </xf>
    <xf numFmtId="0" fontId="13" fillId="3" borderId="4" xfId="0" applyFont="1" applyFill="1" applyBorder="1" applyAlignment="1">
      <alignment horizontal="left"/>
    </xf>
    <xf numFmtId="0" fontId="13" fillId="11" borderId="5" xfId="0" applyFont="1" applyFill="1" applyBorder="1" applyAlignment="1">
      <alignment horizontal="left"/>
    </xf>
    <xf numFmtId="0" fontId="13" fillId="11" borderId="6" xfId="0" applyFont="1" applyFill="1" applyBorder="1" applyAlignment="1">
      <alignment horizontal="left"/>
    </xf>
    <xf numFmtId="0" fontId="13" fillId="11" borderId="2" xfId="0" applyFont="1" applyFill="1" applyBorder="1" applyAlignment="1">
      <alignment horizontal="left"/>
    </xf>
    <xf numFmtId="0" fontId="13" fillId="11" borderId="4" xfId="0" applyFont="1" applyFill="1" applyBorder="1" applyAlignment="1">
      <alignment horizontal="left"/>
    </xf>
    <xf numFmtId="0" fontId="15" fillId="0" borderId="0" xfId="0" applyFont="1"/>
    <xf numFmtId="2" fontId="15" fillId="0" borderId="0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7FDA5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tabSelected="1" workbookViewId="0">
      <selection activeCell="B20" sqref="B20"/>
    </sheetView>
  </sheetViews>
  <sheetFormatPr defaultRowHeight="15" x14ac:dyDescent="0.25"/>
  <cols>
    <col min="1" max="1" width="40" customWidth="1"/>
    <col min="2" max="2" width="10" customWidth="1"/>
    <col min="3" max="3" width="0.5703125" customWidth="1"/>
    <col min="4" max="6" width="11.7109375" hidden="1" customWidth="1"/>
    <col min="7" max="8" width="11.7109375" customWidth="1"/>
    <col min="9" max="9" width="0.140625" customWidth="1"/>
    <col min="10" max="10" width="10.42578125" customWidth="1"/>
    <col min="11" max="11" width="1.140625" hidden="1" customWidth="1"/>
    <col min="12" max="12" width="13.140625" customWidth="1"/>
    <col min="13" max="13" width="11.85546875" customWidth="1"/>
    <col min="14" max="14" width="0.28515625" customWidth="1"/>
  </cols>
  <sheetData>
    <row r="1" spans="1:14" ht="33.75" customHeight="1" thickBot="1" x14ac:dyDescent="0.3">
      <c r="A1" s="77" t="s">
        <v>109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4" ht="30" customHeight="1" thickBot="1" x14ac:dyDescent="0.3">
      <c r="A2" s="5" t="s">
        <v>127</v>
      </c>
      <c r="B2" s="6" t="s">
        <v>2</v>
      </c>
      <c r="C2" s="6" t="s">
        <v>1</v>
      </c>
      <c r="D2" s="6" t="s">
        <v>3</v>
      </c>
      <c r="E2" s="6" t="s">
        <v>4</v>
      </c>
      <c r="F2" s="6" t="s">
        <v>5</v>
      </c>
      <c r="G2" s="6" t="s">
        <v>110</v>
      </c>
      <c r="H2" s="6" t="s">
        <v>6</v>
      </c>
      <c r="I2" s="6" t="s">
        <v>4</v>
      </c>
      <c r="J2" s="6" t="s">
        <v>7</v>
      </c>
      <c r="K2" s="6" t="s">
        <v>4</v>
      </c>
      <c r="L2" s="6" t="s">
        <v>8</v>
      </c>
      <c r="M2" s="6" t="s">
        <v>126</v>
      </c>
      <c r="N2" s="6" t="s">
        <v>9</v>
      </c>
    </row>
    <row r="3" spans="1:14" x14ac:dyDescent="0.25">
      <c r="A3" s="87" t="s">
        <v>10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x14ac:dyDescent="0.25">
      <c r="A4" s="71" t="s">
        <v>11</v>
      </c>
      <c r="B4" s="72"/>
      <c r="C4" s="9">
        <f>SUM(C5:C6)</f>
        <v>14012</v>
      </c>
      <c r="D4" s="9">
        <f>SUM(D5:D6)</f>
        <v>77132.759999999995</v>
      </c>
      <c r="E4" s="9">
        <f>C4+D4</f>
        <v>91144.76</v>
      </c>
      <c r="F4" s="9">
        <f>SUM(F5:F6)</f>
        <v>31337.22</v>
      </c>
      <c r="G4" s="9">
        <f>E4+F4</f>
        <v>122481.98</v>
      </c>
      <c r="H4" s="9">
        <f>SUM(H5:H6)</f>
        <v>23628.36</v>
      </c>
      <c r="I4" s="9">
        <f>G4+H4</f>
        <v>146110.34</v>
      </c>
      <c r="J4" s="9">
        <f>SUM(J5:J6)</f>
        <v>46367.87</v>
      </c>
      <c r="K4" s="9">
        <f>I4+J4</f>
        <v>192478.21</v>
      </c>
      <c r="L4" s="9">
        <f>SUM(L5:L6)</f>
        <v>46367.87</v>
      </c>
      <c r="M4" s="9">
        <f>K4+L4</f>
        <v>238846.07999999999</v>
      </c>
      <c r="N4" s="9">
        <f>SUM(N5:N6)</f>
        <v>0</v>
      </c>
    </row>
    <row r="5" spans="1:14" x14ac:dyDescent="0.25">
      <c r="A5" s="1" t="s">
        <v>12</v>
      </c>
      <c r="B5" s="1">
        <v>211</v>
      </c>
      <c r="C5" s="2">
        <v>14012</v>
      </c>
      <c r="D5" s="1">
        <v>65961.78</v>
      </c>
      <c r="E5" s="2">
        <f>C5+D5</f>
        <v>79973.78</v>
      </c>
      <c r="F5" s="1">
        <f>1509+9291.4+3800+494</f>
        <v>15094.4</v>
      </c>
      <c r="G5" s="2">
        <f>E5+F5</f>
        <v>95068.18</v>
      </c>
      <c r="H5" s="1">
        <f>5494.84+895+1612+12400</f>
        <v>20401.84</v>
      </c>
      <c r="I5" s="2">
        <f>G5+H5</f>
        <v>115470.01999999999</v>
      </c>
      <c r="J5" s="2">
        <f>3017+18583.8+1612+12400</f>
        <v>35612.800000000003</v>
      </c>
      <c r="K5" s="2">
        <f>I5+J5</f>
        <v>151082.82</v>
      </c>
      <c r="L5" s="2">
        <f>3018+18582.8+1612+12400</f>
        <v>35612.800000000003</v>
      </c>
      <c r="M5" s="2">
        <f>K5+L5</f>
        <v>186695.62</v>
      </c>
      <c r="N5" s="1"/>
    </row>
    <row r="6" spans="1:14" x14ac:dyDescent="0.25">
      <c r="A6" s="1" t="s">
        <v>14</v>
      </c>
      <c r="B6" s="1">
        <v>213</v>
      </c>
      <c r="C6" s="1"/>
      <c r="D6" s="1">
        <v>11170.98</v>
      </c>
      <c r="E6" s="1">
        <f>C6+D6</f>
        <v>11170.98</v>
      </c>
      <c r="F6" s="1">
        <f>107.57+1559.74+2742.99+11832.52</f>
        <v>16242.82</v>
      </c>
      <c r="G6" s="2">
        <f>E6+F6</f>
        <v>27413.8</v>
      </c>
      <c r="H6" s="1">
        <f>21.37+309.83+544.88+2350.44</f>
        <v>3226.52</v>
      </c>
      <c r="I6" s="2">
        <f>G6+H6</f>
        <v>30640.32</v>
      </c>
      <c r="J6" s="2">
        <f>71.23+1032.77+1816.25+7834.82</f>
        <v>10755.07</v>
      </c>
      <c r="K6" s="2">
        <f>I6+J6</f>
        <v>41395.39</v>
      </c>
      <c r="L6" s="1">
        <f>71.23+1032.77+1816.25+7834.82</f>
        <v>10755.07</v>
      </c>
      <c r="M6" s="2">
        <f>K6+L6</f>
        <v>52150.46</v>
      </c>
      <c r="N6" s="1"/>
    </row>
    <row r="7" spans="1:14" x14ac:dyDescent="0.25">
      <c r="A7" s="71" t="s">
        <v>10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x14ac:dyDescent="0.25">
      <c r="A8" s="71" t="s">
        <v>15</v>
      </c>
      <c r="B8" s="72"/>
      <c r="C8" s="8"/>
      <c r="D8" s="8">
        <f>D9</f>
        <v>600</v>
      </c>
      <c r="E8" s="8">
        <f t="shared" ref="E8:M8" si="0">E9</f>
        <v>600</v>
      </c>
      <c r="F8" s="8">
        <f>F9</f>
        <v>0</v>
      </c>
      <c r="G8" s="8">
        <f t="shared" si="0"/>
        <v>600</v>
      </c>
      <c r="H8" s="8">
        <f>H9</f>
        <v>0</v>
      </c>
      <c r="I8" s="8">
        <f t="shared" si="0"/>
        <v>600</v>
      </c>
      <c r="J8" s="8">
        <f>J9</f>
        <v>0</v>
      </c>
      <c r="K8" s="8">
        <f t="shared" si="0"/>
        <v>600</v>
      </c>
      <c r="L8" s="8">
        <f>L9</f>
        <v>0</v>
      </c>
      <c r="M8" s="8">
        <f t="shared" si="0"/>
        <v>600</v>
      </c>
      <c r="N8" s="8">
        <f>N9</f>
        <v>0</v>
      </c>
    </row>
    <row r="9" spans="1:14" x14ac:dyDescent="0.25">
      <c r="A9" s="1" t="s">
        <v>13</v>
      </c>
      <c r="B9" s="1">
        <v>212</v>
      </c>
      <c r="C9" s="7"/>
      <c r="D9" s="7">
        <v>600</v>
      </c>
      <c r="E9" s="7">
        <f>C9+D9</f>
        <v>600</v>
      </c>
      <c r="F9" s="7"/>
      <c r="G9" s="7">
        <f>E9+F9</f>
        <v>600</v>
      </c>
      <c r="H9" s="7"/>
      <c r="I9" s="7">
        <f>G9+H9</f>
        <v>600</v>
      </c>
      <c r="J9" s="7"/>
      <c r="K9" s="7">
        <f>I9+J9</f>
        <v>600</v>
      </c>
      <c r="L9" s="7"/>
      <c r="M9" s="7">
        <f>K9+L9</f>
        <v>600</v>
      </c>
      <c r="N9" s="7"/>
    </row>
    <row r="10" spans="1:14" x14ac:dyDescent="0.25">
      <c r="A10" s="89" t="s">
        <v>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x14ac:dyDescent="0.25">
      <c r="A11" s="89" t="s">
        <v>16</v>
      </c>
      <c r="B11" s="119"/>
      <c r="C11" s="14">
        <f>SUM(C12:C13)</f>
        <v>4972</v>
      </c>
      <c r="D11" s="14">
        <f>SUM(D12:D13)</f>
        <v>16366.25</v>
      </c>
      <c r="E11" s="14">
        <f t="shared" ref="E11" si="1">C11+D11</f>
        <v>21338.25</v>
      </c>
      <c r="F11" s="14">
        <f>SUM(F12:F13)</f>
        <v>18174.27</v>
      </c>
      <c r="G11" s="14">
        <f t="shared" ref="G11" si="2">E11+F11</f>
        <v>39512.520000000004</v>
      </c>
      <c r="H11" s="14">
        <f>SUM(H12:H13)</f>
        <v>14558.25</v>
      </c>
      <c r="I11" s="14">
        <f t="shared" ref="I11" si="3">G11+H11</f>
        <v>54070.770000000004</v>
      </c>
      <c r="J11" s="14">
        <f>SUM(J12:J13)</f>
        <v>28028.019999999997</v>
      </c>
      <c r="K11" s="14">
        <f t="shared" ref="K11" si="4">I11+J11</f>
        <v>82098.790000000008</v>
      </c>
      <c r="L11" s="14">
        <f>SUM(L12:L13)</f>
        <v>9368.869999999999</v>
      </c>
      <c r="M11" s="14">
        <f t="shared" ref="M11" si="5">K11+L11</f>
        <v>91467.66</v>
      </c>
      <c r="N11" s="14">
        <f>SUM(N12:N13)</f>
        <v>0</v>
      </c>
    </row>
    <row r="12" spans="1:14" x14ac:dyDescent="0.25">
      <c r="A12" s="1" t="s">
        <v>12</v>
      </c>
      <c r="B12" s="1">
        <v>211</v>
      </c>
      <c r="C12" s="7">
        <v>4972</v>
      </c>
      <c r="D12" s="7">
        <v>12570.09</v>
      </c>
      <c r="E12" s="7">
        <f>C12+D12</f>
        <v>17542.09</v>
      </c>
      <c r="F12" s="7">
        <f>880+6718.09+6000+780</f>
        <v>14378.09</v>
      </c>
      <c r="G12" s="7">
        <f>E12+F12</f>
        <v>31920.18</v>
      </c>
      <c r="H12" s="7">
        <f>5118.09+672+572+4400</f>
        <v>10762.09</v>
      </c>
      <c r="I12" s="7">
        <f>G12+H12</f>
        <v>42682.270000000004</v>
      </c>
      <c r="J12" s="7">
        <f>2714+20387.85+130+1000</f>
        <v>24231.85</v>
      </c>
      <c r="K12" s="7">
        <f>I12+J12</f>
        <v>66914.12</v>
      </c>
      <c r="L12" s="7">
        <f>214+1300.96+273+2100</f>
        <v>3887.96</v>
      </c>
      <c r="M12" s="7">
        <f>K12+L12</f>
        <v>70802.080000000002</v>
      </c>
      <c r="N12" s="7"/>
    </row>
    <row r="13" spans="1:14" x14ac:dyDescent="0.25">
      <c r="A13" s="1" t="s">
        <v>14</v>
      </c>
      <c r="B13" s="1">
        <v>213</v>
      </c>
      <c r="C13" s="7"/>
      <c r="D13" s="7">
        <v>3796.16</v>
      </c>
      <c r="E13" s="7">
        <f>C13+D13</f>
        <v>3796.16</v>
      </c>
      <c r="F13" s="7">
        <f>25.14+364.54+641.08+2765.42</f>
        <v>3796.1800000000003</v>
      </c>
      <c r="G13" s="7">
        <f>E13+F13</f>
        <v>7592.34</v>
      </c>
      <c r="H13" s="7">
        <f>25.14+364.53+641.07+2765.42</f>
        <v>3796.16</v>
      </c>
      <c r="I13" s="7">
        <f>G13+H13</f>
        <v>11388.5</v>
      </c>
      <c r="J13" s="7">
        <f>25.14+364.53+641.08+2765.42</f>
        <v>3796.17</v>
      </c>
      <c r="K13" s="7">
        <f>I13+J13</f>
        <v>15184.67</v>
      </c>
      <c r="L13" s="7">
        <f>36.3+526.31+925.58+3992.72</f>
        <v>5480.91</v>
      </c>
      <c r="M13" s="7">
        <f>K13+L13</f>
        <v>20665.580000000002</v>
      </c>
      <c r="N13" s="7"/>
    </row>
    <row r="14" spans="1:14" x14ac:dyDescent="0.25">
      <c r="A14" s="89" t="s">
        <v>0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4" x14ac:dyDescent="0.25">
      <c r="A15" s="89" t="s">
        <v>17</v>
      </c>
      <c r="B15" s="119"/>
      <c r="C15" s="14">
        <f>C16</f>
        <v>0</v>
      </c>
      <c r="D15" s="14">
        <f>D16</f>
        <v>0</v>
      </c>
      <c r="E15" s="14">
        <f t="shared" ref="E15" si="6">C15+D15</f>
        <v>0</v>
      </c>
      <c r="F15" s="14">
        <f>F16</f>
        <v>0</v>
      </c>
      <c r="G15" s="14">
        <f t="shared" ref="G15" si="7">E15+F15</f>
        <v>0</v>
      </c>
      <c r="H15" s="14">
        <f>H16</f>
        <v>0</v>
      </c>
      <c r="I15" s="14">
        <f t="shared" ref="I15" si="8">G15+H15</f>
        <v>0</v>
      </c>
      <c r="J15" s="14">
        <f>J16</f>
        <v>0</v>
      </c>
      <c r="K15" s="14">
        <f t="shared" ref="K15" si="9">I15+J15</f>
        <v>0</v>
      </c>
      <c r="L15" s="14">
        <f>L16</f>
        <v>0</v>
      </c>
      <c r="M15" s="14">
        <f t="shared" ref="M15" si="10">K15+L15</f>
        <v>0</v>
      </c>
      <c r="N15" s="14">
        <f>N16</f>
        <v>0</v>
      </c>
    </row>
    <row r="16" spans="1:14" x14ac:dyDescent="0.25">
      <c r="A16" s="1" t="s">
        <v>13</v>
      </c>
      <c r="B16" s="1">
        <v>212</v>
      </c>
      <c r="C16" s="7"/>
      <c r="D16" s="7"/>
      <c r="E16" s="7">
        <f>C16+D16</f>
        <v>0</v>
      </c>
      <c r="F16" s="7"/>
      <c r="G16" s="7">
        <f>E16+F16</f>
        <v>0</v>
      </c>
      <c r="H16" s="7"/>
      <c r="I16" s="7">
        <f>G16+H16</f>
        <v>0</v>
      </c>
      <c r="J16" s="7"/>
      <c r="K16" s="7">
        <f>I16+J16</f>
        <v>0</v>
      </c>
      <c r="L16" s="7"/>
      <c r="M16" s="7">
        <f>K16+L16</f>
        <v>0</v>
      </c>
      <c r="N16" s="7"/>
    </row>
    <row r="17" spans="1:14" x14ac:dyDescent="0.25">
      <c r="A17" s="89" t="s">
        <v>0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x14ac:dyDescent="0.25">
      <c r="A18" s="12" t="s">
        <v>18</v>
      </c>
      <c r="B18" s="13"/>
      <c r="C18" s="15">
        <f>SUM(C19:C20)</f>
        <v>0</v>
      </c>
      <c r="D18" s="15">
        <f t="shared" ref="D18:N18" si="11">SUM(D19:D20)</f>
        <v>0</v>
      </c>
      <c r="E18" s="15">
        <f t="shared" si="11"/>
        <v>0</v>
      </c>
      <c r="F18" s="15">
        <f t="shared" si="11"/>
        <v>0</v>
      </c>
      <c r="G18" s="15">
        <f t="shared" si="11"/>
        <v>0</v>
      </c>
      <c r="H18" s="15">
        <f t="shared" si="11"/>
        <v>0</v>
      </c>
      <c r="I18" s="15">
        <f t="shared" si="11"/>
        <v>0</v>
      </c>
      <c r="J18" s="15">
        <f t="shared" si="11"/>
        <v>0</v>
      </c>
      <c r="K18" s="15">
        <f t="shared" si="11"/>
        <v>0</v>
      </c>
      <c r="L18" s="15">
        <f t="shared" si="11"/>
        <v>0</v>
      </c>
      <c r="M18" s="15">
        <f t="shared" si="11"/>
        <v>0</v>
      </c>
      <c r="N18" s="15">
        <f t="shared" si="11"/>
        <v>0</v>
      </c>
    </row>
    <row r="19" spans="1:14" x14ac:dyDescent="0.25">
      <c r="A19" s="1"/>
      <c r="B19" s="1"/>
      <c r="C19" s="2"/>
      <c r="D19" s="1"/>
      <c r="E19" s="2">
        <f>C19+D19</f>
        <v>0</v>
      </c>
      <c r="F19" s="1"/>
      <c r="G19" s="2">
        <f>E19+F19</f>
        <v>0</v>
      </c>
      <c r="H19" s="1"/>
      <c r="I19" s="2">
        <f>G19+H19</f>
        <v>0</v>
      </c>
      <c r="J19" s="1"/>
      <c r="K19" s="2">
        <f>I19+J19</f>
        <v>0</v>
      </c>
      <c r="L19" s="2"/>
      <c r="M19" s="2">
        <f>K19+L19</f>
        <v>0</v>
      </c>
      <c r="N19" s="1"/>
    </row>
    <row r="20" spans="1:14" x14ac:dyDescent="0.25">
      <c r="A20" s="1"/>
      <c r="B20" s="1"/>
      <c r="C20" s="1"/>
      <c r="D20" s="1"/>
      <c r="E20" s="2">
        <f>C20+D20</f>
        <v>0</v>
      </c>
      <c r="F20" s="1"/>
      <c r="G20" s="2">
        <f>E20+F20</f>
        <v>0</v>
      </c>
      <c r="H20" s="2"/>
      <c r="I20" s="2">
        <f>G20+H20</f>
        <v>0</v>
      </c>
      <c r="J20" s="2"/>
      <c r="K20" s="2">
        <f>I20+J20</f>
        <v>0</v>
      </c>
      <c r="L20" s="2"/>
      <c r="M20" s="2">
        <f>K20+L20</f>
        <v>0</v>
      </c>
      <c r="N20" s="2"/>
    </row>
    <row r="21" spans="1:14" x14ac:dyDescent="0.25">
      <c r="A21" s="85" t="s">
        <v>0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spans="1:14" x14ac:dyDescent="0.25">
      <c r="A22" s="16" t="s">
        <v>19</v>
      </c>
      <c r="B22" s="17"/>
      <c r="C22" s="18">
        <f>SUM(C23:C24)</f>
        <v>73345</v>
      </c>
      <c r="D22" s="18">
        <f>SUM(D23:D24)</f>
        <v>253496.11</v>
      </c>
      <c r="E22" s="18">
        <f t="shared" ref="E22" si="12">C22+D22</f>
        <v>326841.11</v>
      </c>
      <c r="F22" s="18">
        <f>SUM(F23:F24)</f>
        <v>225224.5</v>
      </c>
      <c r="G22" s="18">
        <f t="shared" ref="G22" si="13">E22+F22</f>
        <v>552065.61</v>
      </c>
      <c r="H22" s="18">
        <f>SUM(H23:H24)</f>
        <v>235743.8</v>
      </c>
      <c r="I22" s="18">
        <f t="shared" ref="I22" si="14">G22+H22</f>
        <v>787809.40999999992</v>
      </c>
      <c r="J22" s="18">
        <f>SUM(J23:J24)</f>
        <v>191203.84</v>
      </c>
      <c r="K22" s="18">
        <f t="shared" ref="K22" si="15">I22+J22</f>
        <v>979013.24999999988</v>
      </c>
      <c r="L22" s="18">
        <f>SUM(L23:L24)</f>
        <v>271513.55000000005</v>
      </c>
      <c r="M22" s="18">
        <f t="shared" ref="M22" si="16">K22+L22</f>
        <v>1250526.7999999998</v>
      </c>
      <c r="N22" s="18">
        <f>SUM(N23:N24)</f>
        <v>0</v>
      </c>
    </row>
    <row r="23" spans="1:14" x14ac:dyDescent="0.25">
      <c r="A23" s="10" t="s">
        <v>12</v>
      </c>
      <c r="B23" s="10">
        <v>211</v>
      </c>
      <c r="C23" s="11">
        <v>73345</v>
      </c>
      <c r="D23" s="11">
        <v>191535.05</v>
      </c>
      <c r="E23" s="11">
        <f>C23+D23</f>
        <v>264880.05</v>
      </c>
      <c r="F23" s="11">
        <f>11968+80294.23+4256+31281.94+45600+5928</f>
        <v>179328.16999999998</v>
      </c>
      <c r="G23" s="11">
        <f>E23+F23</f>
        <v>444208.22</v>
      </c>
      <c r="H23" s="11">
        <f>72336.36+11068+5142.88+769+10000+72996.14</f>
        <v>172312.38</v>
      </c>
      <c r="I23" s="11">
        <f>G23+H23</f>
        <v>616520.6</v>
      </c>
      <c r="J23" s="11">
        <f>9840+63679.99+1542.46+1542.46+9242.27+1381+6500+50000+389+2600.65</f>
        <v>146717.82999999999</v>
      </c>
      <c r="K23" s="11">
        <f>I23+J23</f>
        <v>763238.42999999993</v>
      </c>
      <c r="L23" s="11">
        <f>705.98+3023.24+21820+144210.69+1900+6821+49494.17</f>
        <v>227975.08000000002</v>
      </c>
      <c r="M23" s="11">
        <f>K23+L23</f>
        <v>991213.51</v>
      </c>
      <c r="N23" s="11"/>
    </row>
    <row r="24" spans="1:14" x14ac:dyDescent="0.25">
      <c r="A24" s="1" t="s">
        <v>14</v>
      </c>
      <c r="B24" s="10">
        <v>213</v>
      </c>
      <c r="C24" s="11"/>
      <c r="D24" s="11">
        <v>61961.06</v>
      </c>
      <c r="E24" s="11">
        <f>C24+D24</f>
        <v>61961.06</v>
      </c>
      <c r="F24" s="11">
        <f>312.4+4437.26+7876.46+33270.21</f>
        <v>45896.33</v>
      </c>
      <c r="G24" s="11">
        <f>E24+F24</f>
        <v>107857.39</v>
      </c>
      <c r="H24" s="11">
        <f>340.94+4943.63+8693.98+37503.45+1554+10395.42</f>
        <v>63431.42</v>
      </c>
      <c r="I24" s="11">
        <f>G24+H24</f>
        <v>171288.81</v>
      </c>
      <c r="J24" s="11">
        <f>325.9+8310.57+35849.54</f>
        <v>44486.01</v>
      </c>
      <c r="K24" s="11">
        <f>I24+J24</f>
        <v>215774.82</v>
      </c>
      <c r="L24" s="11">
        <f>315.64+8048.83+35174</f>
        <v>43538.47</v>
      </c>
      <c r="M24" s="11">
        <f>K24+L24</f>
        <v>259313.29</v>
      </c>
      <c r="N24" s="11"/>
    </row>
    <row r="25" spans="1:14" x14ac:dyDescent="0.25">
      <c r="A25" s="85" t="s">
        <v>0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</row>
    <row r="26" spans="1:14" x14ac:dyDescent="0.25">
      <c r="A26" s="16" t="s">
        <v>20</v>
      </c>
      <c r="B26" s="17"/>
      <c r="C26" s="18">
        <f>SUM(C27:C28)</f>
        <v>0</v>
      </c>
      <c r="D26" s="18">
        <f t="shared" ref="D26:N26" si="17">SUM(D27:D28)</f>
        <v>2562</v>
      </c>
      <c r="E26" s="18">
        <f t="shared" si="17"/>
        <v>2562</v>
      </c>
      <c r="F26" s="18">
        <f t="shared" si="17"/>
        <v>2300</v>
      </c>
      <c r="G26" s="18">
        <f t="shared" si="17"/>
        <v>4862</v>
      </c>
      <c r="H26" s="18">
        <f t="shared" si="17"/>
        <v>0</v>
      </c>
      <c r="I26" s="18">
        <f t="shared" si="17"/>
        <v>4862</v>
      </c>
      <c r="J26" s="18">
        <f t="shared" si="17"/>
        <v>2300</v>
      </c>
      <c r="K26" s="18">
        <f t="shared" si="17"/>
        <v>7162</v>
      </c>
      <c r="L26" s="18">
        <f t="shared" si="17"/>
        <v>0</v>
      </c>
      <c r="M26" s="18">
        <f t="shared" si="17"/>
        <v>7162</v>
      </c>
      <c r="N26" s="18">
        <f t="shared" si="17"/>
        <v>0</v>
      </c>
    </row>
    <row r="27" spans="1:14" x14ac:dyDescent="0.25">
      <c r="A27" s="20" t="s">
        <v>13</v>
      </c>
      <c r="B27" s="19">
        <v>212</v>
      </c>
      <c r="C27" s="23"/>
      <c r="D27" s="23"/>
      <c r="E27" s="23">
        <f>C27+D27</f>
        <v>0</v>
      </c>
      <c r="F27" s="23">
        <v>600</v>
      </c>
      <c r="G27" s="23">
        <f>E27+F27</f>
        <v>600</v>
      </c>
      <c r="H27" s="23"/>
      <c r="I27" s="23">
        <f>G27+H27</f>
        <v>600</v>
      </c>
      <c r="J27" s="23">
        <f>600</f>
        <v>600</v>
      </c>
      <c r="K27" s="23">
        <f>J27+I27</f>
        <v>1200</v>
      </c>
      <c r="L27" s="23"/>
      <c r="M27" s="23">
        <f>K27+L27</f>
        <v>1200</v>
      </c>
      <c r="N27" s="23"/>
    </row>
    <row r="28" spans="1:14" x14ac:dyDescent="0.25">
      <c r="A28" s="1" t="s">
        <v>22</v>
      </c>
      <c r="B28" s="4">
        <v>222</v>
      </c>
      <c r="C28" s="27"/>
      <c r="D28" s="27">
        <v>2562</v>
      </c>
      <c r="E28" s="23">
        <f>C28+D28</f>
        <v>2562</v>
      </c>
      <c r="F28" s="27">
        <v>1700</v>
      </c>
      <c r="G28" s="23">
        <f>E28+F28</f>
        <v>4262</v>
      </c>
      <c r="H28" s="27"/>
      <c r="I28" s="23">
        <f>G28+H28</f>
        <v>4262</v>
      </c>
      <c r="J28" s="27">
        <v>1700</v>
      </c>
      <c r="K28" s="23">
        <f>J28+I28</f>
        <v>5962</v>
      </c>
      <c r="L28" s="27"/>
      <c r="M28" s="23">
        <f>K28+L28</f>
        <v>5962</v>
      </c>
      <c r="N28" s="27"/>
    </row>
    <row r="29" spans="1:14" x14ac:dyDescent="0.25">
      <c r="A29" s="85" t="s">
        <v>0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</row>
    <row r="30" spans="1:14" x14ac:dyDescent="0.25">
      <c r="A30" s="16" t="s">
        <v>21</v>
      </c>
      <c r="B30" s="17"/>
      <c r="C30" s="18">
        <f>C31+C33+C41+C46+C56+C39</f>
        <v>28455.16</v>
      </c>
      <c r="D30" s="18">
        <f t="shared" ref="D30:N30" si="18">D31+D33+D41+D46+D56+D39</f>
        <v>83758.34</v>
      </c>
      <c r="E30" s="18">
        <f t="shared" si="18"/>
        <v>112213.5</v>
      </c>
      <c r="F30" s="18">
        <f t="shared" si="18"/>
        <v>84740.03</v>
      </c>
      <c r="G30" s="18">
        <f t="shared" si="18"/>
        <v>196953.52999999997</v>
      </c>
      <c r="H30" s="18">
        <f t="shared" si="18"/>
        <v>66572.010000000009</v>
      </c>
      <c r="I30" s="18">
        <f t="shared" si="18"/>
        <v>263525.53999999998</v>
      </c>
      <c r="J30" s="18">
        <f t="shared" si="18"/>
        <v>39317.699999999997</v>
      </c>
      <c r="K30" s="18">
        <f t="shared" si="18"/>
        <v>302843.24</v>
      </c>
      <c r="L30" s="18">
        <f t="shared" si="18"/>
        <v>40366.410000000003</v>
      </c>
      <c r="M30" s="18">
        <f t="shared" si="18"/>
        <v>343209.64999999997</v>
      </c>
      <c r="N30" s="18">
        <f t="shared" si="18"/>
        <v>0</v>
      </c>
    </row>
    <row r="31" spans="1:14" x14ac:dyDescent="0.25">
      <c r="A31" s="81" t="s">
        <v>51</v>
      </c>
      <c r="B31" s="82"/>
      <c r="C31" s="18">
        <f>C32</f>
        <v>0</v>
      </c>
      <c r="D31" s="18">
        <f t="shared" ref="D31:N31" si="19">D32</f>
        <v>11477.029999999999</v>
      </c>
      <c r="E31" s="18">
        <f t="shared" si="19"/>
        <v>11477.029999999999</v>
      </c>
      <c r="F31" s="18">
        <f t="shared" si="19"/>
        <v>3565.92</v>
      </c>
      <c r="G31" s="18">
        <f t="shared" si="19"/>
        <v>15042.949999999999</v>
      </c>
      <c r="H31" s="18">
        <f t="shared" si="19"/>
        <v>6343.68</v>
      </c>
      <c r="I31" s="18">
        <f t="shared" si="19"/>
        <v>21386.629999999997</v>
      </c>
      <c r="J31" s="18">
        <f t="shared" si="19"/>
        <v>5375.31</v>
      </c>
      <c r="K31" s="18">
        <f t="shared" si="19"/>
        <v>26761.94</v>
      </c>
      <c r="L31" s="18">
        <f t="shared" si="19"/>
        <v>1413.6</v>
      </c>
      <c r="M31" s="18">
        <f t="shared" si="19"/>
        <v>28175.539999999997</v>
      </c>
      <c r="N31" s="18">
        <f t="shared" si="19"/>
        <v>0</v>
      </c>
    </row>
    <row r="32" spans="1:14" x14ac:dyDescent="0.25">
      <c r="A32" s="69" t="s">
        <v>121</v>
      </c>
      <c r="B32" s="19">
        <v>221</v>
      </c>
      <c r="C32" s="23"/>
      <c r="D32" s="23">
        <f>1.18+8.97+6466.88+5000</f>
        <v>11477.029999999999</v>
      </c>
      <c r="E32" s="23">
        <f>C32+D32</f>
        <v>11477.029999999999</v>
      </c>
      <c r="F32" s="23">
        <f>1.18+4.48+3560.26</f>
        <v>3565.92</v>
      </c>
      <c r="G32" s="23">
        <f>E32+F32</f>
        <v>15042.949999999999</v>
      </c>
      <c r="H32" s="23">
        <v>6343.68</v>
      </c>
      <c r="I32" s="23">
        <f>G32+H32</f>
        <v>21386.629999999997</v>
      </c>
      <c r="J32" s="23">
        <v>5375.31</v>
      </c>
      <c r="K32" s="23">
        <f>I32+J32</f>
        <v>26761.94</v>
      </c>
      <c r="L32" s="23">
        <v>1413.6</v>
      </c>
      <c r="M32" s="23">
        <f>K32+L32</f>
        <v>28175.539999999997</v>
      </c>
      <c r="N32" s="23"/>
    </row>
    <row r="33" spans="1:14" x14ac:dyDescent="0.25">
      <c r="A33" s="81" t="s">
        <v>47</v>
      </c>
      <c r="B33" s="82"/>
      <c r="C33" s="18">
        <f>SUM(C34:C38)</f>
        <v>2355.16</v>
      </c>
      <c r="D33" s="18">
        <f t="shared" ref="D33:N33" si="20">SUM(D34:D38)</f>
        <v>24933.809999999998</v>
      </c>
      <c r="E33" s="18">
        <f t="shared" ref="E33:E60" si="21">C33+D33</f>
        <v>27288.969999999998</v>
      </c>
      <c r="F33" s="18">
        <f t="shared" si="20"/>
        <v>22867.91</v>
      </c>
      <c r="G33" s="18">
        <f t="shared" ref="G33:G60" si="22">E33+F33</f>
        <v>50156.88</v>
      </c>
      <c r="H33" s="18">
        <f t="shared" si="20"/>
        <v>20071.7</v>
      </c>
      <c r="I33" s="18">
        <f t="shared" ref="I33:I60" si="23">G33+H33</f>
        <v>70228.58</v>
      </c>
      <c r="J33" s="18">
        <f t="shared" si="20"/>
        <v>15296.789999999999</v>
      </c>
      <c r="K33" s="18">
        <f t="shared" ref="K33:K60" si="24">I33+J33</f>
        <v>85525.37</v>
      </c>
      <c r="L33" s="18">
        <f t="shared" si="20"/>
        <v>11900.03</v>
      </c>
      <c r="M33" s="18">
        <f t="shared" ref="M33:M60" si="25">K33+L33</f>
        <v>97425.4</v>
      </c>
      <c r="N33" s="18">
        <f t="shared" si="20"/>
        <v>0</v>
      </c>
    </row>
    <row r="34" spans="1:14" x14ac:dyDescent="0.25">
      <c r="A34" s="1" t="s">
        <v>24</v>
      </c>
      <c r="B34" s="1">
        <v>223</v>
      </c>
      <c r="C34" s="7">
        <v>2355.16</v>
      </c>
      <c r="D34" s="7">
        <v>2753.4</v>
      </c>
      <c r="E34" s="23">
        <f t="shared" si="21"/>
        <v>5108.5599999999995</v>
      </c>
      <c r="F34" s="7">
        <v>2098.8200000000002</v>
      </c>
      <c r="G34" s="23">
        <f t="shared" si="22"/>
        <v>7207.3799999999992</v>
      </c>
      <c r="H34" s="7">
        <f>1945.72</f>
        <v>1945.72</v>
      </c>
      <c r="I34" s="23">
        <f t="shared" si="23"/>
        <v>9153.0999999999985</v>
      </c>
      <c r="J34" s="7">
        <f>172.91</f>
        <v>172.91</v>
      </c>
      <c r="K34" s="23">
        <f t="shared" si="24"/>
        <v>9326.0099999999984</v>
      </c>
      <c r="L34" s="7">
        <v>2619.69</v>
      </c>
      <c r="M34" s="23">
        <f t="shared" si="25"/>
        <v>11945.699999999999</v>
      </c>
      <c r="N34" s="7"/>
    </row>
    <row r="35" spans="1:14" x14ac:dyDescent="0.25">
      <c r="A35" s="1" t="s">
        <v>64</v>
      </c>
      <c r="B35" s="1">
        <v>223</v>
      </c>
      <c r="C35" s="7"/>
      <c r="D35" s="7">
        <v>7840.57</v>
      </c>
      <c r="E35" s="23">
        <f t="shared" si="21"/>
        <v>7840.57</v>
      </c>
      <c r="F35" s="7">
        <v>7840.57</v>
      </c>
      <c r="G35" s="23">
        <f t="shared" si="22"/>
        <v>15681.14</v>
      </c>
      <c r="H35" s="7">
        <v>7090.57</v>
      </c>
      <c r="I35" s="23">
        <f t="shared" si="23"/>
        <v>22771.71</v>
      </c>
      <c r="J35" s="7">
        <f>7840.57</f>
        <v>7840.57</v>
      </c>
      <c r="K35" s="23">
        <f t="shared" si="24"/>
        <v>30612.28</v>
      </c>
      <c r="L35" s="7">
        <v>7090.57</v>
      </c>
      <c r="M35" s="23">
        <f t="shared" si="25"/>
        <v>37702.85</v>
      </c>
      <c r="N35" s="7"/>
    </row>
    <row r="36" spans="1:14" x14ac:dyDescent="0.25">
      <c r="A36" s="1" t="s">
        <v>67</v>
      </c>
      <c r="B36" s="1">
        <v>223</v>
      </c>
      <c r="C36" s="7"/>
      <c r="D36" s="7">
        <v>13172.15</v>
      </c>
      <c r="E36" s="23">
        <f t="shared" si="21"/>
        <v>13172.15</v>
      </c>
      <c r="F36" s="7">
        <v>11760.86</v>
      </c>
      <c r="G36" s="23">
        <f t="shared" si="22"/>
        <v>24933.010000000002</v>
      </c>
      <c r="H36" s="7">
        <v>10192.75</v>
      </c>
      <c r="I36" s="23">
        <f t="shared" si="23"/>
        <v>35125.760000000002</v>
      </c>
      <c r="J36" s="7">
        <f>6115.65</f>
        <v>6115.65</v>
      </c>
      <c r="K36" s="23">
        <f t="shared" si="24"/>
        <v>41241.410000000003</v>
      </c>
      <c r="L36" s="7">
        <v>1724.92</v>
      </c>
      <c r="M36" s="23">
        <f t="shared" si="25"/>
        <v>42966.33</v>
      </c>
      <c r="N36" s="7"/>
    </row>
    <row r="37" spans="1:14" x14ac:dyDescent="0.25">
      <c r="A37" s="1" t="s">
        <v>63</v>
      </c>
      <c r="B37" s="1">
        <v>223</v>
      </c>
      <c r="C37" s="7"/>
      <c r="D37" s="7">
        <v>1003.5</v>
      </c>
      <c r="E37" s="23">
        <f t="shared" si="21"/>
        <v>1003.5</v>
      </c>
      <c r="F37" s="7">
        <v>1003.5</v>
      </c>
      <c r="G37" s="23">
        <f t="shared" si="22"/>
        <v>2007</v>
      </c>
      <c r="H37" s="7">
        <v>678.5</v>
      </c>
      <c r="I37" s="23">
        <f t="shared" si="23"/>
        <v>2685.5</v>
      </c>
      <c r="J37" s="7">
        <f>1003.5</f>
        <v>1003.5</v>
      </c>
      <c r="K37" s="23">
        <f t="shared" si="24"/>
        <v>3689</v>
      </c>
      <c r="L37" s="7">
        <v>300.66000000000003</v>
      </c>
      <c r="M37" s="23">
        <f t="shared" si="25"/>
        <v>3989.66</v>
      </c>
      <c r="N37" s="7"/>
    </row>
    <row r="38" spans="1:14" x14ac:dyDescent="0.25">
      <c r="A38" s="1" t="s">
        <v>62</v>
      </c>
      <c r="B38" s="1">
        <v>223</v>
      </c>
      <c r="C38" s="7"/>
      <c r="D38" s="7">
        <v>164.19</v>
      </c>
      <c r="E38" s="23">
        <f t="shared" si="21"/>
        <v>164.19</v>
      </c>
      <c r="F38" s="7">
        <v>164.16</v>
      </c>
      <c r="G38" s="23">
        <f t="shared" si="22"/>
        <v>328.35</v>
      </c>
      <c r="H38" s="7">
        <v>164.16</v>
      </c>
      <c r="I38" s="23">
        <f t="shared" si="23"/>
        <v>492.51</v>
      </c>
      <c r="J38" s="7">
        <f>164.16</f>
        <v>164.16</v>
      </c>
      <c r="K38" s="23">
        <f t="shared" si="24"/>
        <v>656.67</v>
      </c>
      <c r="L38" s="7">
        <v>164.19</v>
      </c>
      <c r="M38" s="23">
        <f t="shared" si="25"/>
        <v>820.8599999999999</v>
      </c>
      <c r="N38" s="7"/>
    </row>
    <row r="39" spans="1:14" x14ac:dyDescent="0.25">
      <c r="A39" s="81" t="s">
        <v>100</v>
      </c>
      <c r="B39" s="82"/>
      <c r="C39" s="18">
        <f>C40</f>
        <v>0</v>
      </c>
      <c r="D39" s="18">
        <f t="shared" ref="D39:N39" si="26">D40</f>
        <v>0</v>
      </c>
      <c r="E39" s="18">
        <f t="shared" si="26"/>
        <v>0</v>
      </c>
      <c r="F39" s="18">
        <f t="shared" si="26"/>
        <v>0</v>
      </c>
      <c r="G39" s="18">
        <f t="shared" si="26"/>
        <v>0</v>
      </c>
      <c r="H39" s="18">
        <f t="shared" si="26"/>
        <v>0</v>
      </c>
      <c r="I39" s="18">
        <f t="shared" si="26"/>
        <v>0</v>
      </c>
      <c r="J39" s="18">
        <f t="shared" si="26"/>
        <v>0</v>
      </c>
      <c r="K39" s="18">
        <f t="shared" si="26"/>
        <v>0</v>
      </c>
      <c r="L39" s="18">
        <f t="shared" si="26"/>
        <v>3.54</v>
      </c>
      <c r="M39" s="18">
        <f t="shared" si="26"/>
        <v>3.54</v>
      </c>
      <c r="N39" s="18">
        <f t="shared" si="26"/>
        <v>0</v>
      </c>
    </row>
    <row r="40" spans="1:14" x14ac:dyDescent="0.25">
      <c r="A40" s="69" t="s">
        <v>120</v>
      </c>
      <c r="B40" s="19">
        <v>224</v>
      </c>
      <c r="C40" s="23"/>
      <c r="D40" s="23"/>
      <c r="E40" s="23">
        <f>C40+D40</f>
        <v>0</v>
      </c>
      <c r="F40" s="23"/>
      <c r="G40" s="23">
        <f>E40+F40</f>
        <v>0</v>
      </c>
      <c r="H40" s="23"/>
      <c r="I40" s="23">
        <f>G40+H40</f>
        <v>0</v>
      </c>
      <c r="J40" s="23"/>
      <c r="K40" s="23">
        <f>I40+J40</f>
        <v>0</v>
      </c>
      <c r="L40" s="23">
        <f>1.18+1.18+1.18</f>
        <v>3.54</v>
      </c>
      <c r="M40" s="23">
        <f>K40+L40</f>
        <v>3.54</v>
      </c>
      <c r="N40" s="23"/>
    </row>
    <row r="41" spans="1:14" x14ac:dyDescent="0.25">
      <c r="A41" s="81" t="s">
        <v>48</v>
      </c>
      <c r="B41" s="82"/>
      <c r="C41" s="18">
        <f>SUM(C42:C45)</f>
        <v>0</v>
      </c>
      <c r="D41" s="18">
        <f t="shared" ref="D41:N41" si="27">SUM(D42:D45)</f>
        <v>2654.7</v>
      </c>
      <c r="E41" s="18">
        <f t="shared" si="27"/>
        <v>2654.7</v>
      </c>
      <c r="F41" s="18">
        <f t="shared" si="27"/>
        <v>1854.7</v>
      </c>
      <c r="G41" s="18">
        <f t="shared" si="27"/>
        <v>4509.3999999999996</v>
      </c>
      <c r="H41" s="18">
        <f t="shared" si="27"/>
        <v>1854.7</v>
      </c>
      <c r="I41" s="18">
        <f t="shared" si="27"/>
        <v>6364.1</v>
      </c>
      <c r="J41" s="18">
        <f t="shared" si="27"/>
        <v>5284.7</v>
      </c>
      <c r="K41" s="18">
        <f t="shared" si="27"/>
        <v>11648.8</v>
      </c>
      <c r="L41" s="18">
        <f t="shared" si="27"/>
        <v>5194.7</v>
      </c>
      <c r="M41" s="18">
        <f t="shared" si="27"/>
        <v>16843.5</v>
      </c>
      <c r="N41" s="18">
        <f t="shared" si="27"/>
        <v>0</v>
      </c>
    </row>
    <row r="42" spans="1:14" x14ac:dyDescent="0.25">
      <c r="A42" s="1" t="s">
        <v>28</v>
      </c>
      <c r="B42" s="1">
        <v>225</v>
      </c>
      <c r="C42" s="7"/>
      <c r="D42" s="7">
        <v>232.32</v>
      </c>
      <c r="E42" s="23">
        <f t="shared" si="21"/>
        <v>232.32</v>
      </c>
      <c r="F42" s="7">
        <v>232.32</v>
      </c>
      <c r="G42" s="23">
        <f t="shared" si="22"/>
        <v>464.64</v>
      </c>
      <c r="H42" s="7">
        <v>232.32</v>
      </c>
      <c r="I42" s="23">
        <f t="shared" si="23"/>
        <v>696.96</v>
      </c>
      <c r="J42" s="7">
        <v>232.32</v>
      </c>
      <c r="K42" s="23">
        <f t="shared" si="24"/>
        <v>929.28</v>
      </c>
      <c r="L42" s="7">
        <v>232.32</v>
      </c>
      <c r="M42" s="23">
        <f t="shared" si="25"/>
        <v>1161.5999999999999</v>
      </c>
      <c r="N42" s="7"/>
    </row>
    <row r="43" spans="1:14" x14ac:dyDescent="0.25">
      <c r="A43" s="1" t="s">
        <v>29</v>
      </c>
      <c r="B43" s="1">
        <v>225</v>
      </c>
      <c r="C43" s="7"/>
      <c r="D43" s="7">
        <v>348.48</v>
      </c>
      <c r="E43" s="23">
        <f t="shared" si="21"/>
        <v>348.48</v>
      </c>
      <c r="F43" s="7">
        <v>348.48</v>
      </c>
      <c r="G43" s="23">
        <f t="shared" si="22"/>
        <v>696.96</v>
      </c>
      <c r="H43" s="7">
        <v>348.48</v>
      </c>
      <c r="I43" s="23">
        <f t="shared" si="23"/>
        <v>1045.44</v>
      </c>
      <c r="J43" s="7">
        <v>348.48</v>
      </c>
      <c r="K43" s="23">
        <f t="shared" si="24"/>
        <v>1393.92</v>
      </c>
      <c r="L43" s="7">
        <v>348.48</v>
      </c>
      <c r="M43" s="23">
        <f t="shared" si="25"/>
        <v>1742.4</v>
      </c>
      <c r="N43" s="7"/>
    </row>
    <row r="44" spans="1:14" x14ac:dyDescent="0.25">
      <c r="A44" s="1" t="s">
        <v>30</v>
      </c>
      <c r="B44" s="1">
        <v>225</v>
      </c>
      <c r="C44" s="7"/>
      <c r="D44" s="7">
        <v>1273.9000000000001</v>
      </c>
      <c r="E44" s="23">
        <f t="shared" si="21"/>
        <v>1273.9000000000001</v>
      </c>
      <c r="F44" s="7">
        <v>1273.9000000000001</v>
      </c>
      <c r="G44" s="23">
        <f t="shared" si="22"/>
        <v>2547.8000000000002</v>
      </c>
      <c r="H44" s="7">
        <v>1273.9000000000001</v>
      </c>
      <c r="I44" s="23">
        <f t="shared" si="23"/>
        <v>3821.7000000000003</v>
      </c>
      <c r="J44" s="7">
        <v>1273.9000000000001</v>
      </c>
      <c r="K44" s="23">
        <f t="shared" si="24"/>
        <v>5095.6000000000004</v>
      </c>
      <c r="L44" s="7">
        <v>1273.9000000000001</v>
      </c>
      <c r="M44" s="23">
        <f t="shared" si="25"/>
        <v>6369.5</v>
      </c>
      <c r="N44" s="7"/>
    </row>
    <row r="45" spans="1:14" x14ac:dyDescent="0.25">
      <c r="A45" s="1" t="s">
        <v>53</v>
      </c>
      <c r="B45" s="1">
        <v>225</v>
      </c>
      <c r="C45" s="7"/>
      <c r="D45" s="7">
        <v>800</v>
      </c>
      <c r="E45" s="23">
        <f t="shared" si="21"/>
        <v>800</v>
      </c>
      <c r="F45" s="7"/>
      <c r="G45" s="23">
        <f t="shared" si="22"/>
        <v>800</v>
      </c>
      <c r="H45" s="7"/>
      <c r="I45" s="23">
        <f t="shared" si="23"/>
        <v>800</v>
      </c>
      <c r="J45" s="7">
        <v>3430</v>
      </c>
      <c r="K45" s="23">
        <f t="shared" si="24"/>
        <v>4230</v>
      </c>
      <c r="L45" s="7">
        <v>3340</v>
      </c>
      <c r="M45" s="23">
        <f t="shared" si="25"/>
        <v>7570</v>
      </c>
      <c r="N45" s="7"/>
    </row>
    <row r="46" spans="1:14" x14ac:dyDescent="0.25">
      <c r="A46" s="81" t="s">
        <v>49</v>
      </c>
      <c r="B46" s="82"/>
      <c r="C46" s="18">
        <f>SUM(C47:C53)</f>
        <v>0</v>
      </c>
      <c r="D46" s="18">
        <f t="shared" ref="D46:N46" si="28">SUM(D47:D53)</f>
        <v>21652.799999999999</v>
      </c>
      <c r="E46" s="18">
        <f t="shared" si="28"/>
        <v>21652.799999999999</v>
      </c>
      <c r="F46" s="18">
        <f t="shared" si="28"/>
        <v>56451.5</v>
      </c>
      <c r="G46" s="18">
        <f t="shared" si="28"/>
        <v>78104.299999999988</v>
      </c>
      <c r="H46" s="18">
        <f t="shared" si="28"/>
        <v>28310.93</v>
      </c>
      <c r="I46" s="18">
        <f t="shared" si="28"/>
        <v>106415.23</v>
      </c>
      <c r="J46" s="18">
        <f t="shared" si="28"/>
        <v>12636.4</v>
      </c>
      <c r="K46" s="18">
        <f t="shared" si="28"/>
        <v>119051.63</v>
      </c>
      <c r="L46" s="18">
        <f t="shared" si="28"/>
        <v>21854.54</v>
      </c>
      <c r="M46" s="18">
        <f t="shared" si="28"/>
        <v>140906.16999999998</v>
      </c>
      <c r="N46" s="18">
        <f t="shared" si="28"/>
        <v>0</v>
      </c>
    </row>
    <row r="47" spans="1:14" x14ac:dyDescent="0.25">
      <c r="A47" s="1" t="s">
        <v>119</v>
      </c>
      <c r="B47" s="1">
        <v>226</v>
      </c>
      <c r="C47" s="7"/>
      <c r="D47" s="7">
        <f>5816.4+5816.4</f>
        <v>11632.8</v>
      </c>
      <c r="E47" s="23">
        <f t="shared" si="21"/>
        <v>11632.8</v>
      </c>
      <c r="F47" s="7">
        <v>5816.4</v>
      </c>
      <c r="G47" s="23">
        <f t="shared" si="22"/>
        <v>17449.199999999997</v>
      </c>
      <c r="H47" s="7">
        <v>5816.4</v>
      </c>
      <c r="I47" s="23">
        <f t="shared" si="23"/>
        <v>23265.599999999999</v>
      </c>
      <c r="J47" s="7">
        <v>5816.4</v>
      </c>
      <c r="K47" s="23">
        <f t="shared" si="24"/>
        <v>29082</v>
      </c>
      <c r="L47" s="7">
        <v>5816.4</v>
      </c>
      <c r="M47" s="23">
        <f t="shared" si="25"/>
        <v>34898.400000000001</v>
      </c>
      <c r="N47" s="7"/>
    </row>
    <row r="48" spans="1:14" x14ac:dyDescent="0.25">
      <c r="A48" s="1" t="s">
        <v>122</v>
      </c>
      <c r="B48" s="1">
        <v>226</v>
      </c>
      <c r="C48" s="7"/>
      <c r="D48" s="7">
        <f>4500+4500</f>
        <v>9000</v>
      </c>
      <c r="E48" s="23">
        <f t="shared" si="21"/>
        <v>9000</v>
      </c>
      <c r="F48" s="7"/>
      <c r="G48" s="23">
        <f t="shared" si="22"/>
        <v>9000</v>
      </c>
      <c r="H48" s="7">
        <f>4500+4500</f>
        <v>9000</v>
      </c>
      <c r="I48" s="23">
        <f t="shared" si="23"/>
        <v>18000</v>
      </c>
      <c r="J48" s="7">
        <v>4500</v>
      </c>
      <c r="K48" s="23">
        <f t="shared" si="24"/>
        <v>22500</v>
      </c>
      <c r="L48" s="7"/>
      <c r="M48" s="23">
        <f t="shared" si="25"/>
        <v>22500</v>
      </c>
      <c r="N48" s="7"/>
    </row>
    <row r="49" spans="1:14" x14ac:dyDescent="0.25">
      <c r="A49" s="1" t="s">
        <v>118</v>
      </c>
      <c r="B49" s="1">
        <v>226</v>
      </c>
      <c r="C49" s="7"/>
      <c r="D49" s="7">
        <v>0</v>
      </c>
      <c r="E49" s="23">
        <f t="shared" si="21"/>
        <v>0</v>
      </c>
      <c r="F49" s="7"/>
      <c r="G49" s="23">
        <f t="shared" si="22"/>
        <v>0</v>
      </c>
      <c r="H49" s="7">
        <v>4578.53</v>
      </c>
      <c r="I49" s="23">
        <f t="shared" si="23"/>
        <v>4578.53</v>
      </c>
      <c r="J49" s="7"/>
      <c r="K49" s="23">
        <f t="shared" si="24"/>
        <v>4578.53</v>
      </c>
      <c r="L49" s="7"/>
      <c r="M49" s="23">
        <f t="shared" si="25"/>
        <v>4578.53</v>
      </c>
      <c r="N49" s="7"/>
    </row>
    <row r="50" spans="1:14" x14ac:dyDescent="0.25">
      <c r="A50" s="1" t="s">
        <v>35</v>
      </c>
      <c r="B50" s="1">
        <v>226</v>
      </c>
      <c r="C50" s="7"/>
      <c r="D50" s="7">
        <v>1020</v>
      </c>
      <c r="E50" s="23">
        <f t="shared" si="21"/>
        <v>1020</v>
      </c>
      <c r="F50" s="7">
        <v>1140</v>
      </c>
      <c r="G50" s="23">
        <f t="shared" si="22"/>
        <v>2160</v>
      </c>
      <c r="H50" s="7">
        <v>1290</v>
      </c>
      <c r="I50" s="23">
        <f t="shared" si="23"/>
        <v>3450</v>
      </c>
      <c r="J50" s="7">
        <v>1320</v>
      </c>
      <c r="K50" s="23">
        <f t="shared" si="24"/>
        <v>4770</v>
      </c>
      <c r="L50" s="7">
        <v>1170</v>
      </c>
      <c r="M50" s="23">
        <f t="shared" si="25"/>
        <v>5940</v>
      </c>
      <c r="N50" s="7"/>
    </row>
    <row r="51" spans="1:14" x14ac:dyDescent="0.25">
      <c r="A51" s="35" t="s">
        <v>58</v>
      </c>
      <c r="B51" s="1">
        <v>226</v>
      </c>
      <c r="C51" s="7"/>
      <c r="D51" s="7">
        <v>0</v>
      </c>
      <c r="E51" s="23">
        <f t="shared" si="21"/>
        <v>0</v>
      </c>
      <c r="F51" s="7">
        <f>413.1+1053+1782+7047</f>
        <v>10295.1</v>
      </c>
      <c r="G51" s="23">
        <f t="shared" si="22"/>
        <v>10295.1</v>
      </c>
      <c r="H51" s="7">
        <f>5220+306+780+1320</f>
        <v>7626</v>
      </c>
      <c r="I51" s="23">
        <f t="shared" si="23"/>
        <v>17921.099999999999</v>
      </c>
      <c r="J51" s="7"/>
      <c r="K51" s="23">
        <f t="shared" si="24"/>
        <v>17921.099999999999</v>
      </c>
      <c r="L51" s="7"/>
      <c r="M51" s="23">
        <f t="shared" si="25"/>
        <v>17921.099999999999</v>
      </c>
      <c r="N51" s="7"/>
    </row>
    <row r="52" spans="1:14" x14ac:dyDescent="0.25">
      <c r="A52" s="35" t="s">
        <v>124</v>
      </c>
      <c r="B52" s="1">
        <v>226</v>
      </c>
      <c r="C52" s="7"/>
      <c r="D52" s="7">
        <v>0</v>
      </c>
      <c r="E52" s="23">
        <f t="shared" si="21"/>
        <v>0</v>
      </c>
      <c r="F52" s="7"/>
      <c r="G52" s="23">
        <f t="shared" si="22"/>
        <v>0</v>
      </c>
      <c r="H52" s="7"/>
      <c r="I52" s="23">
        <f t="shared" si="23"/>
        <v>0</v>
      </c>
      <c r="J52" s="7"/>
      <c r="K52" s="23">
        <f t="shared" si="24"/>
        <v>0</v>
      </c>
      <c r="L52" s="7">
        <v>14868.14</v>
      </c>
      <c r="M52" s="23">
        <f t="shared" si="25"/>
        <v>14868.14</v>
      </c>
      <c r="N52" s="7"/>
    </row>
    <row r="53" spans="1:14" x14ac:dyDescent="0.25">
      <c r="A53" s="35" t="s">
        <v>61</v>
      </c>
      <c r="B53" s="1">
        <v>226</v>
      </c>
      <c r="C53" s="7"/>
      <c r="D53" s="7">
        <v>0</v>
      </c>
      <c r="E53" s="23">
        <f t="shared" si="21"/>
        <v>0</v>
      </c>
      <c r="F53" s="7">
        <v>39200</v>
      </c>
      <c r="G53" s="23">
        <f t="shared" si="22"/>
        <v>39200</v>
      </c>
      <c r="H53" s="7"/>
      <c r="I53" s="23">
        <f t="shared" si="23"/>
        <v>39200</v>
      </c>
      <c r="J53" s="7">
        <v>1000</v>
      </c>
      <c r="K53" s="23">
        <f t="shared" si="24"/>
        <v>40200</v>
      </c>
      <c r="L53" s="7"/>
      <c r="M53" s="23">
        <f t="shared" si="25"/>
        <v>40200</v>
      </c>
      <c r="N53" s="7"/>
    </row>
    <row r="54" spans="1:14" x14ac:dyDescent="0.25">
      <c r="A54" s="81" t="s">
        <v>89</v>
      </c>
      <c r="B54" s="82"/>
      <c r="C54" s="18">
        <f>C55</f>
        <v>0</v>
      </c>
      <c r="D54" s="18">
        <f t="shared" ref="D54:N54" si="29">D55</f>
        <v>0</v>
      </c>
      <c r="E54" s="18">
        <f t="shared" si="29"/>
        <v>0</v>
      </c>
      <c r="F54" s="18">
        <f t="shared" si="29"/>
        <v>0</v>
      </c>
      <c r="G54" s="18">
        <f t="shared" si="29"/>
        <v>0</v>
      </c>
      <c r="H54" s="18">
        <f t="shared" si="29"/>
        <v>0</v>
      </c>
      <c r="I54" s="18">
        <f t="shared" si="29"/>
        <v>0</v>
      </c>
      <c r="J54" s="18">
        <f t="shared" si="29"/>
        <v>1895</v>
      </c>
      <c r="K54" s="18">
        <f t="shared" si="29"/>
        <v>1895</v>
      </c>
      <c r="L54" s="18">
        <f t="shared" si="29"/>
        <v>0</v>
      </c>
      <c r="M54" s="18">
        <f t="shared" si="29"/>
        <v>1895</v>
      </c>
      <c r="N54" s="18">
        <f t="shared" si="29"/>
        <v>0</v>
      </c>
    </row>
    <row r="55" spans="1:14" x14ac:dyDescent="0.25">
      <c r="A55" s="1" t="s">
        <v>90</v>
      </c>
      <c r="B55" s="1">
        <v>310</v>
      </c>
      <c r="C55" s="7"/>
      <c r="D55" s="7"/>
      <c r="E55" s="23">
        <f t="shared" ref="E55" si="30">C55+D55</f>
        <v>0</v>
      </c>
      <c r="F55" s="7"/>
      <c r="G55" s="23">
        <f t="shared" ref="G55" si="31">E55+F55</f>
        <v>0</v>
      </c>
      <c r="H55" s="7"/>
      <c r="I55" s="23">
        <f t="shared" ref="I55" si="32">G55+H55</f>
        <v>0</v>
      </c>
      <c r="J55" s="7">
        <v>1895</v>
      </c>
      <c r="K55" s="23">
        <f t="shared" ref="K55" si="33">I55+J55</f>
        <v>1895</v>
      </c>
      <c r="L55" s="7"/>
      <c r="M55" s="23">
        <f t="shared" ref="M55" si="34">K55+L55</f>
        <v>1895</v>
      </c>
      <c r="N55" s="7"/>
    </row>
    <row r="56" spans="1:14" x14ac:dyDescent="0.25">
      <c r="A56" s="81" t="s">
        <v>50</v>
      </c>
      <c r="B56" s="82"/>
      <c r="C56" s="18">
        <f>SUM(C57:C60)</f>
        <v>26100</v>
      </c>
      <c r="D56" s="18">
        <f t="shared" ref="D56:N56" si="35">SUM(D57:D60)</f>
        <v>23040</v>
      </c>
      <c r="E56" s="18">
        <f t="shared" si="35"/>
        <v>49140</v>
      </c>
      <c r="F56" s="18">
        <f t="shared" si="35"/>
        <v>0</v>
      </c>
      <c r="G56" s="18">
        <f t="shared" si="35"/>
        <v>49140</v>
      </c>
      <c r="H56" s="18">
        <f t="shared" si="35"/>
        <v>9991</v>
      </c>
      <c r="I56" s="18">
        <f t="shared" si="35"/>
        <v>59131</v>
      </c>
      <c r="J56" s="18">
        <f t="shared" si="35"/>
        <v>724.5</v>
      </c>
      <c r="K56" s="18">
        <f t="shared" si="35"/>
        <v>59855.5</v>
      </c>
      <c r="L56" s="18">
        <f t="shared" si="35"/>
        <v>0</v>
      </c>
      <c r="M56" s="18">
        <f t="shared" si="35"/>
        <v>59855.5</v>
      </c>
      <c r="N56" s="18">
        <f t="shared" si="35"/>
        <v>0</v>
      </c>
    </row>
    <row r="57" spans="1:14" x14ac:dyDescent="0.25">
      <c r="A57" s="1" t="s">
        <v>25</v>
      </c>
      <c r="B57" s="1">
        <v>340</v>
      </c>
      <c r="C57" s="7">
        <v>26100</v>
      </c>
      <c r="D57" s="7">
        <v>23040</v>
      </c>
      <c r="E57" s="23">
        <f t="shared" si="21"/>
        <v>49140</v>
      </c>
      <c r="F57" s="7"/>
      <c r="G57" s="23">
        <f t="shared" si="22"/>
        <v>49140</v>
      </c>
      <c r="H57" s="7"/>
      <c r="I57" s="23">
        <f t="shared" si="23"/>
        <v>49140</v>
      </c>
      <c r="J57" s="7"/>
      <c r="K57" s="23">
        <f t="shared" si="24"/>
        <v>49140</v>
      </c>
      <c r="L57" s="7"/>
      <c r="M57" s="23">
        <f t="shared" si="25"/>
        <v>49140</v>
      </c>
      <c r="N57" s="7"/>
    </row>
    <row r="58" spans="1:14" x14ac:dyDescent="0.25">
      <c r="A58" s="1" t="s">
        <v>82</v>
      </c>
      <c r="B58" s="1">
        <v>340</v>
      </c>
      <c r="C58" s="7"/>
      <c r="D58" s="7"/>
      <c r="E58" s="23">
        <f t="shared" si="21"/>
        <v>0</v>
      </c>
      <c r="F58" s="7"/>
      <c r="G58" s="23">
        <f t="shared" si="22"/>
        <v>0</v>
      </c>
      <c r="H58" s="7">
        <v>2130</v>
      </c>
      <c r="I58" s="23">
        <f t="shared" si="23"/>
        <v>2130</v>
      </c>
      <c r="J58" s="7"/>
      <c r="K58" s="23">
        <f t="shared" si="24"/>
        <v>2130</v>
      </c>
      <c r="L58" s="7"/>
      <c r="M58" s="23">
        <f t="shared" si="25"/>
        <v>2130</v>
      </c>
      <c r="N58" s="7"/>
    </row>
    <row r="59" spans="1:14" x14ac:dyDescent="0.25">
      <c r="A59" s="1" t="s">
        <v>83</v>
      </c>
      <c r="B59" s="1">
        <v>340</v>
      </c>
      <c r="C59" s="7"/>
      <c r="D59" s="7"/>
      <c r="E59" s="23">
        <f t="shared" si="21"/>
        <v>0</v>
      </c>
      <c r="F59" s="7"/>
      <c r="G59" s="23">
        <f t="shared" si="22"/>
        <v>0</v>
      </c>
      <c r="H59" s="7">
        <v>7861</v>
      </c>
      <c r="I59" s="23">
        <f t="shared" si="23"/>
        <v>7861</v>
      </c>
      <c r="J59" s="7"/>
      <c r="K59" s="23">
        <f t="shared" si="24"/>
        <v>7861</v>
      </c>
      <c r="L59" s="7"/>
      <c r="M59" s="23">
        <f t="shared" si="25"/>
        <v>7861</v>
      </c>
      <c r="N59" s="7"/>
    </row>
    <row r="60" spans="1:14" x14ac:dyDescent="0.25">
      <c r="A60" s="1" t="s">
        <v>88</v>
      </c>
      <c r="B60" s="1">
        <v>340</v>
      </c>
      <c r="C60" s="7"/>
      <c r="D60" s="7"/>
      <c r="E60" s="23">
        <f t="shared" si="21"/>
        <v>0</v>
      </c>
      <c r="F60" s="7"/>
      <c r="G60" s="23">
        <f t="shared" si="22"/>
        <v>0</v>
      </c>
      <c r="H60" s="7"/>
      <c r="I60" s="23">
        <f t="shared" si="23"/>
        <v>0</v>
      </c>
      <c r="J60" s="7">
        <f>724.5</f>
        <v>724.5</v>
      </c>
      <c r="K60" s="23">
        <f t="shared" si="24"/>
        <v>724.5</v>
      </c>
      <c r="L60" s="7"/>
      <c r="M60" s="23">
        <f t="shared" si="25"/>
        <v>724.5</v>
      </c>
      <c r="N60" s="7"/>
    </row>
    <row r="61" spans="1:14" x14ac:dyDescent="0.25">
      <c r="A61" s="83" t="s">
        <v>0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</row>
    <row r="62" spans="1:14" x14ac:dyDescent="0.25">
      <c r="A62" s="28" t="s">
        <v>81</v>
      </c>
      <c r="B62" s="29"/>
      <c r="C62" s="42">
        <f t="shared" ref="C62:N62" si="36">SUM(C63:C64)</f>
        <v>0</v>
      </c>
      <c r="D62" s="42">
        <f t="shared" si="36"/>
        <v>0</v>
      </c>
      <c r="E62" s="42">
        <f t="shared" si="36"/>
        <v>0</v>
      </c>
      <c r="F62" s="42">
        <f t="shared" si="36"/>
        <v>0</v>
      </c>
      <c r="G62" s="42">
        <f t="shared" si="36"/>
        <v>0</v>
      </c>
      <c r="H62" s="42">
        <f t="shared" si="36"/>
        <v>613.41</v>
      </c>
      <c r="I62" s="42">
        <f t="shared" si="36"/>
        <v>613.41</v>
      </c>
      <c r="J62" s="42">
        <f t="shared" si="36"/>
        <v>0</v>
      </c>
      <c r="K62" s="42">
        <f t="shared" si="36"/>
        <v>613.41</v>
      </c>
      <c r="L62" s="42">
        <f t="shared" si="36"/>
        <v>0</v>
      </c>
      <c r="M62" s="42">
        <f t="shared" si="36"/>
        <v>613.41</v>
      </c>
      <c r="N62" s="42">
        <f t="shared" si="36"/>
        <v>0</v>
      </c>
    </row>
    <row r="63" spans="1:14" x14ac:dyDescent="0.25">
      <c r="A63" s="44" t="s">
        <v>80</v>
      </c>
      <c r="B63" s="19">
        <v>290</v>
      </c>
      <c r="C63" s="23"/>
      <c r="D63" s="23"/>
      <c r="E63" s="23">
        <f>C63+D63</f>
        <v>0</v>
      </c>
      <c r="F63" s="23"/>
      <c r="G63" s="23">
        <f>E63+F63</f>
        <v>0</v>
      </c>
      <c r="H63" s="23">
        <v>3.5</v>
      </c>
      <c r="I63" s="23">
        <f>G63+H63</f>
        <v>3.5</v>
      </c>
      <c r="J63" s="23"/>
      <c r="K63" s="23">
        <f>J63+I63</f>
        <v>3.5</v>
      </c>
      <c r="L63" s="23"/>
      <c r="M63" s="23">
        <f>K63+L63</f>
        <v>3.5</v>
      </c>
      <c r="N63" s="23"/>
    </row>
    <row r="64" spans="1:14" x14ac:dyDescent="0.25">
      <c r="A64" s="1" t="s">
        <v>79</v>
      </c>
      <c r="B64" s="4">
        <v>290</v>
      </c>
      <c r="C64" s="27"/>
      <c r="D64" s="27"/>
      <c r="E64" s="23">
        <f>C64+D64</f>
        <v>0</v>
      </c>
      <c r="F64" s="27"/>
      <c r="G64" s="23">
        <f>E64+F64</f>
        <v>0</v>
      </c>
      <c r="H64" s="27">
        <v>609.91</v>
      </c>
      <c r="I64" s="23">
        <f>G64+H64</f>
        <v>609.91</v>
      </c>
      <c r="J64" s="27"/>
      <c r="K64" s="23">
        <f>J64+I64</f>
        <v>609.91</v>
      </c>
      <c r="L64" s="27"/>
      <c r="M64" s="23">
        <f>K64+L64</f>
        <v>609.91</v>
      </c>
      <c r="N64" s="27"/>
    </row>
    <row r="65" spans="1:14" x14ac:dyDescent="0.25">
      <c r="A65" s="91" t="s">
        <v>0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1:14" x14ac:dyDescent="0.25">
      <c r="A66" s="93" t="s">
        <v>99</v>
      </c>
      <c r="B66" s="94"/>
      <c r="C66" s="25">
        <f>SUM(C67:C68)</f>
        <v>0</v>
      </c>
      <c r="D66" s="25">
        <f t="shared" ref="D66:N66" si="37">SUM(D67:D68)</f>
        <v>0</v>
      </c>
      <c r="E66" s="25">
        <f t="shared" si="37"/>
        <v>0</v>
      </c>
      <c r="F66" s="25">
        <f t="shared" si="37"/>
        <v>0</v>
      </c>
      <c r="G66" s="25">
        <f t="shared" si="37"/>
        <v>0</v>
      </c>
      <c r="H66" s="25">
        <f t="shared" si="37"/>
        <v>0</v>
      </c>
      <c r="I66" s="25">
        <f t="shared" si="37"/>
        <v>0</v>
      </c>
      <c r="J66" s="25">
        <f t="shared" si="37"/>
        <v>4200</v>
      </c>
      <c r="K66" s="25">
        <f t="shared" si="37"/>
        <v>4200</v>
      </c>
      <c r="L66" s="25">
        <f t="shared" si="37"/>
        <v>3200</v>
      </c>
      <c r="M66" s="25">
        <f t="shared" si="37"/>
        <v>7400</v>
      </c>
      <c r="N66" s="25">
        <f t="shared" si="37"/>
        <v>0</v>
      </c>
    </row>
    <row r="67" spans="1:14" s="63" customFormat="1" x14ac:dyDescent="0.25">
      <c r="A67" s="62" t="s">
        <v>107</v>
      </c>
      <c r="B67" s="64" t="s">
        <v>106</v>
      </c>
      <c r="C67" s="61"/>
      <c r="D67" s="61"/>
      <c r="E67" s="7">
        <f>C67+D67</f>
        <v>0</v>
      </c>
      <c r="F67" s="61"/>
      <c r="G67" s="7">
        <f>E67+F67</f>
        <v>0</v>
      </c>
      <c r="H67" s="61"/>
      <c r="I67" s="7">
        <f>G67+H67</f>
        <v>0</v>
      </c>
      <c r="J67" s="61"/>
      <c r="K67" s="7">
        <f>I67+J67</f>
        <v>0</v>
      </c>
      <c r="L67" s="61">
        <v>3200</v>
      </c>
      <c r="M67" s="7">
        <f>K67+L67</f>
        <v>3200</v>
      </c>
      <c r="N67" s="61"/>
    </row>
    <row r="68" spans="1:14" x14ac:dyDescent="0.25">
      <c r="A68" s="1" t="s">
        <v>98</v>
      </c>
      <c r="B68" s="1">
        <v>340</v>
      </c>
      <c r="C68" s="7"/>
      <c r="D68" s="7"/>
      <c r="E68" s="7">
        <f>C68+D68</f>
        <v>0</v>
      </c>
      <c r="F68" s="7"/>
      <c r="G68" s="7">
        <f>E68+F68</f>
        <v>0</v>
      </c>
      <c r="H68" s="7"/>
      <c r="I68" s="7">
        <f>G68+H68</f>
        <v>0</v>
      </c>
      <c r="J68" s="7">
        <v>4200</v>
      </c>
      <c r="K68" s="7">
        <f>I68+J68</f>
        <v>4200</v>
      </c>
      <c r="L68" s="7"/>
      <c r="M68" s="7">
        <f>K68+L68</f>
        <v>4200</v>
      </c>
      <c r="N68" s="7"/>
    </row>
    <row r="69" spans="1:14" x14ac:dyDescent="0.25">
      <c r="A69" s="71" t="s">
        <v>0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</row>
    <row r="70" spans="1:14" x14ac:dyDescent="0.25">
      <c r="A70" s="79" t="s">
        <v>54</v>
      </c>
      <c r="B70" s="80"/>
      <c r="C70" s="24">
        <f>SUM(C72:C72)</f>
        <v>0</v>
      </c>
      <c r="D70" s="24">
        <f>SUM(D71:D72)</f>
        <v>3533</v>
      </c>
      <c r="E70" s="24">
        <f t="shared" ref="E70" si="38">C70+D70</f>
        <v>3533</v>
      </c>
      <c r="F70" s="24">
        <f>SUM(F72:F72)</f>
        <v>0</v>
      </c>
      <c r="G70" s="24">
        <f t="shared" ref="G70" si="39">E70+F70</f>
        <v>3533</v>
      </c>
      <c r="H70" s="24">
        <f>SUM(H72:H72)</f>
        <v>0</v>
      </c>
      <c r="I70" s="24">
        <f t="shared" ref="I70" si="40">G70+H70</f>
        <v>3533</v>
      </c>
      <c r="J70" s="24">
        <f>SUM(J72:J72)</f>
        <v>0</v>
      </c>
      <c r="K70" s="24">
        <f t="shared" ref="K70" si="41">I70+J70</f>
        <v>3533</v>
      </c>
      <c r="L70" s="24">
        <f>SUM(L72:L72)</f>
        <v>0</v>
      </c>
      <c r="M70" s="24">
        <f t="shared" ref="M70" si="42">K70+L70</f>
        <v>3533</v>
      </c>
      <c r="N70" s="24">
        <f>SUM(N72:N72)</f>
        <v>0</v>
      </c>
    </row>
    <row r="71" spans="1:14" x14ac:dyDescent="0.25">
      <c r="A71" s="36" t="s">
        <v>55</v>
      </c>
      <c r="B71" s="37" t="s">
        <v>57</v>
      </c>
      <c r="C71" s="34"/>
      <c r="D71" s="34">
        <v>1956</v>
      </c>
      <c r="E71" s="34">
        <f>C71+D71</f>
        <v>1956</v>
      </c>
      <c r="F71" s="34"/>
      <c r="G71" s="34">
        <f>E71+F71</f>
        <v>1956</v>
      </c>
      <c r="H71" s="34"/>
      <c r="I71" s="34">
        <f>G71+H71</f>
        <v>1956</v>
      </c>
      <c r="J71" s="34"/>
      <c r="K71" s="34">
        <f>I71+J71</f>
        <v>1956</v>
      </c>
      <c r="L71" s="34"/>
      <c r="M71" s="34">
        <f>K71+L71</f>
        <v>1956</v>
      </c>
      <c r="N71" s="34"/>
    </row>
    <row r="72" spans="1:14" x14ac:dyDescent="0.25">
      <c r="A72" s="1" t="s">
        <v>56</v>
      </c>
      <c r="B72" s="1">
        <v>340</v>
      </c>
      <c r="C72" s="7"/>
      <c r="D72" s="7">
        <v>1577</v>
      </c>
      <c r="E72" s="34">
        <f>C72+D72</f>
        <v>1577</v>
      </c>
      <c r="F72" s="7"/>
      <c r="G72" s="7">
        <f>E72+F72</f>
        <v>1577</v>
      </c>
      <c r="H72" s="7"/>
      <c r="I72" s="7">
        <f>G72+H72</f>
        <v>1577</v>
      </c>
      <c r="J72" s="7"/>
      <c r="K72" s="7">
        <f>I72+J72</f>
        <v>1577</v>
      </c>
      <c r="L72" s="7"/>
      <c r="M72" s="7">
        <f>K72+L72</f>
        <v>1577</v>
      </c>
      <c r="N72" s="7"/>
    </row>
    <row r="73" spans="1:14" x14ac:dyDescent="0.25">
      <c r="A73" s="91" t="s">
        <v>0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</row>
    <row r="74" spans="1:14" x14ac:dyDescent="0.25">
      <c r="A74" s="93" t="s">
        <v>37</v>
      </c>
      <c r="B74" s="94"/>
      <c r="C74" s="25">
        <f>SUM(C75:C75)</f>
        <v>0</v>
      </c>
      <c r="D74" s="25">
        <f>SUM(D75:D75)</f>
        <v>2225.5</v>
      </c>
      <c r="E74" s="25">
        <f t="shared" ref="E74" si="43">C74+D74</f>
        <v>2225.5</v>
      </c>
      <c r="F74" s="25">
        <f>SUM(F75:F75)</f>
        <v>0</v>
      </c>
      <c r="G74" s="25">
        <f t="shared" ref="G74" si="44">E74+F74</f>
        <v>2225.5</v>
      </c>
      <c r="H74" s="25">
        <f>SUM(H75:H75)</f>
        <v>0</v>
      </c>
      <c r="I74" s="25">
        <f t="shared" ref="I74" si="45">G74+H74</f>
        <v>2225.5</v>
      </c>
      <c r="J74" s="25">
        <f>SUM(J75:J75)</f>
        <v>0</v>
      </c>
      <c r="K74" s="25">
        <f t="shared" ref="K74" si="46">I74+J74</f>
        <v>2225.5</v>
      </c>
      <c r="L74" s="25">
        <f>SUM(L75:L75)</f>
        <v>0</v>
      </c>
      <c r="M74" s="25">
        <f t="shared" ref="M74" si="47">K74+L74</f>
        <v>2225.5</v>
      </c>
      <c r="N74" s="25">
        <f>SUM(N75:N75)</f>
        <v>0</v>
      </c>
    </row>
    <row r="75" spans="1:14" x14ac:dyDescent="0.25">
      <c r="A75" s="1" t="s">
        <v>36</v>
      </c>
      <c r="B75" s="1">
        <v>290</v>
      </c>
      <c r="C75" s="7"/>
      <c r="D75" s="7">
        <v>2225.5</v>
      </c>
      <c r="E75" s="7">
        <f>C75+D75</f>
        <v>2225.5</v>
      </c>
      <c r="F75" s="7"/>
      <c r="G75" s="7">
        <f>E75+F75</f>
        <v>2225.5</v>
      </c>
      <c r="H75" s="7"/>
      <c r="I75" s="7">
        <f>G75+H75</f>
        <v>2225.5</v>
      </c>
      <c r="J75" s="7"/>
      <c r="K75" s="7">
        <f>I75+J75</f>
        <v>2225.5</v>
      </c>
      <c r="L75" s="7"/>
      <c r="M75" s="7">
        <f>K75+L75</f>
        <v>2225.5</v>
      </c>
      <c r="N75" s="7"/>
    </row>
    <row r="76" spans="1:14" x14ac:dyDescent="0.25">
      <c r="A76" s="75" t="s">
        <v>0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</row>
    <row r="77" spans="1:14" x14ac:dyDescent="0.25">
      <c r="A77" s="102" t="s">
        <v>32</v>
      </c>
      <c r="B77" s="103"/>
      <c r="C77" s="26">
        <f>SUM(C78:C78)</f>
        <v>0</v>
      </c>
      <c r="D77" s="26">
        <f>SUM(D78:D78)</f>
        <v>6742.89</v>
      </c>
      <c r="E77" s="26">
        <f t="shared" ref="E77" si="48">C77+D77</f>
        <v>6742.89</v>
      </c>
      <c r="F77" s="26">
        <f>SUM(F78:F78)</f>
        <v>6272.46</v>
      </c>
      <c r="G77" s="26">
        <f t="shared" ref="G77" si="49">E77+F77</f>
        <v>13015.35</v>
      </c>
      <c r="H77" s="26">
        <f>SUM(H78:H78)</f>
        <v>5174.7700000000004</v>
      </c>
      <c r="I77" s="26">
        <f t="shared" ref="I77" si="50">G77+H77</f>
        <v>18190.120000000003</v>
      </c>
      <c r="J77" s="26">
        <f>SUM(J78:J78)</f>
        <v>3136.23</v>
      </c>
      <c r="K77" s="26">
        <f t="shared" ref="K77" si="51">I77+J77</f>
        <v>21326.350000000002</v>
      </c>
      <c r="L77" s="26">
        <f>SUM(L78:L78)</f>
        <v>8969.6200000000008</v>
      </c>
      <c r="M77" s="26">
        <f t="shared" ref="M77" si="52">K77+L77</f>
        <v>30295.97</v>
      </c>
      <c r="N77" s="26">
        <f>SUM(N78:N78)</f>
        <v>0</v>
      </c>
    </row>
    <row r="78" spans="1:14" x14ac:dyDescent="0.25">
      <c r="A78" s="1" t="s">
        <v>123</v>
      </c>
      <c r="B78" s="1">
        <v>223</v>
      </c>
      <c r="C78" s="7"/>
      <c r="D78" s="7">
        <v>6742.89</v>
      </c>
      <c r="E78" s="7">
        <f>C78+D78</f>
        <v>6742.89</v>
      </c>
      <c r="F78" s="7">
        <v>6272.46</v>
      </c>
      <c r="G78" s="7">
        <f>E78+F78</f>
        <v>13015.35</v>
      </c>
      <c r="H78" s="7">
        <v>5174.7700000000004</v>
      </c>
      <c r="I78" s="7">
        <f>G78+H78</f>
        <v>18190.120000000003</v>
      </c>
      <c r="J78" s="7">
        <f>3136.23</f>
        <v>3136.23</v>
      </c>
      <c r="K78" s="7">
        <f>I78+J78</f>
        <v>21326.350000000002</v>
      </c>
      <c r="L78" s="7">
        <v>8969.6200000000008</v>
      </c>
      <c r="M78" s="7">
        <f>K78+L78</f>
        <v>30295.97</v>
      </c>
      <c r="N78" s="7"/>
    </row>
    <row r="79" spans="1:14" x14ac:dyDescent="0.25">
      <c r="A79" s="85" t="s">
        <v>0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x14ac:dyDescent="0.25">
      <c r="A80" s="104" t="s">
        <v>41</v>
      </c>
      <c r="B80" s="105"/>
      <c r="C80" s="18">
        <f>SUM(C81:C81)</f>
        <v>0</v>
      </c>
      <c r="D80" s="18">
        <f>SUM(D81:D81)</f>
        <v>25000</v>
      </c>
      <c r="E80" s="18">
        <f t="shared" ref="E80" si="53">C80+D80</f>
        <v>25000</v>
      </c>
      <c r="F80" s="18">
        <f>SUM(F81:F81)</f>
        <v>0</v>
      </c>
      <c r="G80" s="18">
        <f t="shared" ref="G80" si="54">E80+F80</f>
        <v>25000</v>
      </c>
      <c r="H80" s="18">
        <f>SUM(H81:H81)</f>
        <v>0</v>
      </c>
      <c r="I80" s="18">
        <f t="shared" ref="I80" si="55">G80+H80</f>
        <v>25000</v>
      </c>
      <c r="J80" s="18">
        <f>SUM(J81:J81)</f>
        <v>0</v>
      </c>
      <c r="K80" s="18">
        <f t="shared" ref="K80" si="56">I80+J80</f>
        <v>25000</v>
      </c>
      <c r="L80" s="18">
        <f>SUM(L81:L81)</f>
        <v>0</v>
      </c>
      <c r="M80" s="18">
        <f t="shared" ref="M80" si="57">K80+L80</f>
        <v>25000</v>
      </c>
      <c r="N80" s="18">
        <f>SUM(N81:N81)</f>
        <v>0</v>
      </c>
    </row>
    <row r="81" spans="1:14" x14ac:dyDescent="0.25">
      <c r="A81" s="1" t="s">
        <v>40</v>
      </c>
      <c r="B81" s="1">
        <v>226</v>
      </c>
      <c r="C81" s="7"/>
      <c r="D81" s="7">
        <v>25000</v>
      </c>
      <c r="E81" s="7">
        <f>C81+D81</f>
        <v>25000</v>
      </c>
      <c r="F81" s="7"/>
      <c r="G81" s="7">
        <f>E81+F81</f>
        <v>25000</v>
      </c>
      <c r="H81" s="7"/>
      <c r="I81" s="7">
        <f>G81+H81</f>
        <v>25000</v>
      </c>
      <c r="J81" s="7"/>
      <c r="K81" s="7">
        <f>I81+J81</f>
        <v>25000</v>
      </c>
      <c r="L81" s="7"/>
      <c r="M81" s="7">
        <f>K81+L81</f>
        <v>25000</v>
      </c>
      <c r="N81" s="7"/>
    </row>
    <row r="82" spans="1:14" x14ac:dyDescent="0.25">
      <c r="A82" s="89" t="s">
        <v>0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</row>
    <row r="83" spans="1:14" x14ac:dyDescent="0.25">
      <c r="A83" s="12" t="s">
        <v>42</v>
      </c>
      <c r="B83" s="13"/>
      <c r="C83" s="14">
        <f>SUM(C84:C85)</f>
        <v>0</v>
      </c>
      <c r="D83" s="14">
        <f>SUM(D84:D85)</f>
        <v>43815.49</v>
      </c>
      <c r="E83" s="14">
        <f t="shared" ref="E83" si="58">C83+D83</f>
        <v>43815.49</v>
      </c>
      <c r="F83" s="14">
        <f>SUM(F84:F85)</f>
        <v>33306.5</v>
      </c>
      <c r="G83" s="14">
        <f t="shared" ref="G83" si="59">E83+F83</f>
        <v>77121.989999999991</v>
      </c>
      <c r="H83" s="14">
        <f>SUM(H84:H85)</f>
        <v>33306.49</v>
      </c>
      <c r="I83" s="14">
        <f t="shared" ref="I83" si="60">G83+H83</f>
        <v>110428.47999999998</v>
      </c>
      <c r="J83" s="14">
        <f>SUM(J84:J85)</f>
        <v>39696.449999999997</v>
      </c>
      <c r="K83" s="14">
        <f t="shared" ref="K83" si="61">I83+J83</f>
        <v>150124.93</v>
      </c>
      <c r="L83" s="14">
        <f>SUM(L84:L85)</f>
        <v>35838.74</v>
      </c>
      <c r="M83" s="14">
        <f t="shared" ref="M83" si="62">K83+L83</f>
        <v>185963.66999999998</v>
      </c>
      <c r="N83" s="14">
        <f>SUM(N84:N85)</f>
        <v>0</v>
      </c>
    </row>
    <row r="84" spans="1:14" x14ac:dyDescent="0.25">
      <c r="A84" s="1" t="s">
        <v>12</v>
      </c>
      <c r="B84" s="1">
        <v>211</v>
      </c>
      <c r="C84" s="7"/>
      <c r="D84" s="7">
        <f>25902+10509</f>
        <v>36411</v>
      </c>
      <c r="E84" s="7">
        <f>C84+D84</f>
        <v>36411</v>
      </c>
      <c r="F84" s="7">
        <f>2092+13301+9300+1209</f>
        <v>25902</v>
      </c>
      <c r="G84" s="7">
        <f>E84+F84</f>
        <v>62313</v>
      </c>
      <c r="H84" s="7">
        <f>13299+2094+1209+9300</f>
        <v>25902</v>
      </c>
      <c r="I84" s="7">
        <f>G84+H84</f>
        <v>88215</v>
      </c>
      <c r="J84" s="7">
        <f>2092+13301+1144+8800+943+6011.97</f>
        <v>32291.97</v>
      </c>
      <c r="K84" s="7">
        <f>I84+J84</f>
        <v>120506.97</v>
      </c>
      <c r="L84" s="7">
        <f>2118+11828.61+1997.09+1248+7300+2300</f>
        <v>26791.7</v>
      </c>
      <c r="M84" s="7">
        <f>K84+L84</f>
        <v>147298.67000000001</v>
      </c>
      <c r="N84" s="7"/>
    </row>
    <row r="85" spans="1:14" x14ac:dyDescent="0.25">
      <c r="A85" s="1" t="s">
        <v>14</v>
      </c>
      <c r="B85" s="1">
        <v>213</v>
      </c>
      <c r="C85" s="7"/>
      <c r="D85" s="7">
        <v>7404.49</v>
      </c>
      <c r="E85" s="7">
        <f>C85+D85</f>
        <v>7404.49</v>
      </c>
      <c r="F85" s="7">
        <f>5558.2+681.05+1124.67+40.58</f>
        <v>7404.5</v>
      </c>
      <c r="G85" s="7">
        <f>E85+F85</f>
        <v>14808.99</v>
      </c>
      <c r="H85" s="7">
        <f>5558.21+681.03+1124.66+40.59</f>
        <v>7404.49</v>
      </c>
      <c r="I85" s="7">
        <f>G85+H85</f>
        <v>22213.48</v>
      </c>
      <c r="J85" s="7">
        <f>7404.48</f>
        <v>7404.48</v>
      </c>
      <c r="K85" s="7">
        <f>I85+J85</f>
        <v>29617.96</v>
      </c>
      <c r="L85" s="7">
        <f>6631.61+882.32+1478.64+54.47</f>
        <v>9047.0399999999991</v>
      </c>
      <c r="M85" s="7">
        <f>K85+L85</f>
        <v>38665</v>
      </c>
      <c r="N85" s="7"/>
    </row>
    <row r="86" spans="1:14" x14ac:dyDescent="0.25">
      <c r="A86" s="89" t="s">
        <v>0</v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</row>
    <row r="87" spans="1:14" x14ac:dyDescent="0.25">
      <c r="A87" s="12" t="s">
        <v>43</v>
      </c>
      <c r="B87" s="13"/>
      <c r="C87" s="14">
        <f>C88+C89+C95+C93</f>
        <v>0</v>
      </c>
      <c r="D87" s="14">
        <f t="shared" ref="D87:N87" si="63">D88+D89+D95+D93</f>
        <v>0</v>
      </c>
      <c r="E87" s="14">
        <f t="shared" si="63"/>
        <v>0</v>
      </c>
      <c r="F87" s="14">
        <f t="shared" si="63"/>
        <v>0</v>
      </c>
      <c r="G87" s="14">
        <f t="shared" si="63"/>
        <v>0</v>
      </c>
      <c r="H87" s="14">
        <f t="shared" si="63"/>
        <v>2975</v>
      </c>
      <c r="I87" s="14">
        <f t="shared" si="63"/>
        <v>2975</v>
      </c>
      <c r="J87" s="14">
        <f t="shared" si="63"/>
        <v>3850.74</v>
      </c>
      <c r="K87" s="14">
        <f t="shared" si="63"/>
        <v>6825.74</v>
      </c>
      <c r="L87" s="14">
        <f t="shared" si="63"/>
        <v>6219.38</v>
      </c>
      <c r="M87" s="14">
        <f t="shared" si="63"/>
        <v>13045.119999999999</v>
      </c>
      <c r="N87" s="14">
        <f t="shared" si="63"/>
        <v>0</v>
      </c>
    </row>
    <row r="88" spans="1:14" x14ac:dyDescent="0.25">
      <c r="A88" s="69" t="s">
        <v>117</v>
      </c>
      <c r="B88" s="19">
        <v>221</v>
      </c>
      <c r="C88" s="31"/>
      <c r="D88" s="31"/>
      <c r="E88" s="46">
        <f>C88+D88</f>
        <v>0</v>
      </c>
      <c r="F88" s="31"/>
      <c r="G88" s="46">
        <f>E88+F88</f>
        <v>0</v>
      </c>
      <c r="H88" s="46">
        <v>1900</v>
      </c>
      <c r="I88" s="46">
        <f>G88+H88</f>
        <v>1900</v>
      </c>
      <c r="J88" s="31"/>
      <c r="K88" s="46">
        <f>I88+J88</f>
        <v>1900</v>
      </c>
      <c r="L88" s="61">
        <v>1900</v>
      </c>
      <c r="M88" s="46">
        <f>K88+L88</f>
        <v>3800</v>
      </c>
      <c r="N88" s="31"/>
    </row>
    <row r="89" spans="1:14" x14ac:dyDescent="0.25">
      <c r="A89" s="117" t="s">
        <v>47</v>
      </c>
      <c r="B89" s="118"/>
      <c r="C89" s="14">
        <f>SUM(C90:C92)</f>
        <v>0</v>
      </c>
      <c r="D89" s="14">
        <f t="shared" ref="D89:N89" si="64">SUM(D90:D92)</f>
        <v>0</v>
      </c>
      <c r="E89" s="14">
        <f t="shared" si="64"/>
        <v>0</v>
      </c>
      <c r="F89" s="14">
        <f t="shared" si="64"/>
        <v>0</v>
      </c>
      <c r="G89" s="14">
        <f t="shared" si="64"/>
        <v>0</v>
      </c>
      <c r="H89" s="14">
        <f t="shared" si="64"/>
        <v>1075</v>
      </c>
      <c r="I89" s="14">
        <f t="shared" si="64"/>
        <v>1075</v>
      </c>
      <c r="J89" s="14">
        <f t="shared" si="64"/>
        <v>1922.74</v>
      </c>
      <c r="K89" s="14">
        <f t="shared" si="64"/>
        <v>2997.74</v>
      </c>
      <c r="L89" s="14">
        <f t="shared" si="64"/>
        <v>1152.22</v>
      </c>
      <c r="M89" s="14">
        <f t="shared" si="64"/>
        <v>4149.96</v>
      </c>
      <c r="N89" s="14">
        <f t="shared" si="64"/>
        <v>0</v>
      </c>
    </row>
    <row r="90" spans="1:14" x14ac:dyDescent="0.25">
      <c r="A90" s="45" t="s">
        <v>64</v>
      </c>
      <c r="B90" s="19">
        <v>223</v>
      </c>
      <c r="C90" s="31"/>
      <c r="D90" s="31"/>
      <c r="E90" s="46">
        <f>C90+D90</f>
        <v>0</v>
      </c>
      <c r="F90" s="31"/>
      <c r="G90" s="46">
        <f>E90+F90</f>
        <v>0</v>
      </c>
      <c r="H90" s="46">
        <v>750</v>
      </c>
      <c r="I90" s="46">
        <f>G90+H90</f>
        <v>750</v>
      </c>
      <c r="J90" s="31"/>
      <c r="K90" s="46">
        <f>I90+J90</f>
        <v>750</v>
      </c>
      <c r="L90" s="61">
        <v>750</v>
      </c>
      <c r="M90" s="46">
        <f>K90+L90</f>
        <v>1500</v>
      </c>
      <c r="N90" s="31"/>
    </row>
    <row r="91" spans="1:14" x14ac:dyDescent="0.25">
      <c r="A91" s="1" t="s">
        <v>63</v>
      </c>
      <c r="B91" s="1">
        <v>223</v>
      </c>
      <c r="C91" s="7"/>
      <c r="D91" s="7"/>
      <c r="E91" s="46">
        <f>C91+D91</f>
        <v>0</v>
      </c>
      <c r="F91" s="7"/>
      <c r="G91" s="46">
        <f>E91+F91</f>
        <v>0</v>
      </c>
      <c r="H91" s="47">
        <v>325</v>
      </c>
      <c r="I91" s="46">
        <f>G91+H91</f>
        <v>325</v>
      </c>
      <c r="J91" s="7"/>
      <c r="K91" s="46">
        <f>I91+J91</f>
        <v>325</v>
      </c>
      <c r="L91" s="7">
        <v>325</v>
      </c>
      <c r="M91" s="46">
        <f>K91+L91</f>
        <v>650</v>
      </c>
      <c r="N91" s="7"/>
    </row>
    <row r="92" spans="1:14" x14ac:dyDescent="0.25">
      <c r="A92" s="65" t="s">
        <v>24</v>
      </c>
      <c r="B92" s="65">
        <v>223</v>
      </c>
      <c r="C92" s="66"/>
      <c r="D92" s="66"/>
      <c r="E92" s="46">
        <f>C92+D92</f>
        <v>0</v>
      </c>
      <c r="F92" s="66"/>
      <c r="G92" s="46">
        <f>E92+F92</f>
        <v>0</v>
      </c>
      <c r="H92" s="67"/>
      <c r="I92" s="46">
        <f>G92+H92</f>
        <v>0</v>
      </c>
      <c r="J92" s="66">
        <v>1922.74</v>
      </c>
      <c r="K92" s="67">
        <f>J92</f>
        <v>1922.74</v>
      </c>
      <c r="L92" s="66">
        <v>77.22</v>
      </c>
      <c r="M92" s="46">
        <f>K92+L92</f>
        <v>1999.96</v>
      </c>
      <c r="N92" s="66"/>
    </row>
    <row r="93" spans="1:14" x14ac:dyDescent="0.25">
      <c r="A93" s="117" t="s">
        <v>49</v>
      </c>
      <c r="B93" s="118"/>
      <c r="C93" s="14">
        <f>C94</f>
        <v>0</v>
      </c>
      <c r="D93" s="14">
        <f t="shared" ref="D93:N93" si="65">D94</f>
        <v>0</v>
      </c>
      <c r="E93" s="14">
        <f t="shared" si="65"/>
        <v>0</v>
      </c>
      <c r="F93" s="14">
        <f t="shared" si="65"/>
        <v>0</v>
      </c>
      <c r="G93" s="14">
        <f t="shared" si="65"/>
        <v>0</v>
      </c>
      <c r="H93" s="14">
        <f t="shared" si="65"/>
        <v>0</v>
      </c>
      <c r="I93" s="14">
        <f t="shared" si="65"/>
        <v>0</v>
      </c>
      <c r="J93" s="14">
        <f t="shared" si="65"/>
        <v>0</v>
      </c>
      <c r="K93" s="14">
        <f t="shared" si="65"/>
        <v>0</v>
      </c>
      <c r="L93" s="14">
        <f t="shared" si="65"/>
        <v>3167.16</v>
      </c>
      <c r="M93" s="14">
        <f t="shared" si="65"/>
        <v>3167.16</v>
      </c>
      <c r="N93" s="14">
        <f t="shared" si="65"/>
        <v>0</v>
      </c>
    </row>
    <row r="94" spans="1:14" x14ac:dyDescent="0.25">
      <c r="A94" s="69" t="s">
        <v>116</v>
      </c>
      <c r="B94" s="19">
        <v>226</v>
      </c>
      <c r="C94" s="31"/>
      <c r="D94" s="31"/>
      <c r="E94" s="46">
        <f>C94+D94</f>
        <v>0</v>
      </c>
      <c r="F94" s="31"/>
      <c r="G94" s="46">
        <f>E94+F94</f>
        <v>0</v>
      </c>
      <c r="H94" s="46"/>
      <c r="I94" s="46">
        <f>G94+H94</f>
        <v>0</v>
      </c>
      <c r="J94" s="31"/>
      <c r="K94" s="46">
        <f>I94+J94</f>
        <v>0</v>
      </c>
      <c r="L94" s="61">
        <v>3167.16</v>
      </c>
      <c r="M94" s="46">
        <f>K94+L94</f>
        <v>3167.16</v>
      </c>
      <c r="N94" s="31"/>
    </row>
    <row r="95" spans="1:14" x14ac:dyDescent="0.25">
      <c r="A95" s="95" t="s">
        <v>50</v>
      </c>
      <c r="B95" s="96"/>
      <c r="C95" s="26">
        <f>C96</f>
        <v>0</v>
      </c>
      <c r="D95" s="26">
        <f t="shared" ref="D95:N95" si="66">D96</f>
        <v>0</v>
      </c>
      <c r="E95" s="26">
        <f t="shared" si="66"/>
        <v>0</v>
      </c>
      <c r="F95" s="26">
        <f t="shared" si="66"/>
        <v>0</v>
      </c>
      <c r="G95" s="26">
        <f t="shared" si="66"/>
        <v>0</v>
      </c>
      <c r="H95" s="26">
        <f t="shared" si="66"/>
        <v>0</v>
      </c>
      <c r="I95" s="26">
        <f t="shared" si="66"/>
        <v>0</v>
      </c>
      <c r="J95" s="26">
        <f t="shared" si="66"/>
        <v>1928</v>
      </c>
      <c r="K95" s="26">
        <f t="shared" si="66"/>
        <v>1928</v>
      </c>
      <c r="L95" s="26">
        <f t="shared" si="66"/>
        <v>0</v>
      </c>
      <c r="M95" s="26">
        <f t="shared" si="66"/>
        <v>1928</v>
      </c>
      <c r="N95" s="26">
        <f t="shared" si="66"/>
        <v>0</v>
      </c>
    </row>
    <row r="96" spans="1:14" x14ac:dyDescent="0.25">
      <c r="A96" s="56" t="s">
        <v>88</v>
      </c>
      <c r="B96" s="57">
        <v>340</v>
      </c>
      <c r="C96" s="7"/>
      <c r="D96" s="7"/>
      <c r="E96" s="46">
        <f>C96+D96</f>
        <v>0</v>
      </c>
      <c r="F96" s="7"/>
      <c r="G96" s="46">
        <f>E96+F96</f>
        <v>0</v>
      </c>
      <c r="H96" s="47"/>
      <c r="I96" s="46">
        <f>G96+H96</f>
        <v>0</v>
      </c>
      <c r="J96" s="7">
        <v>1928</v>
      </c>
      <c r="K96" s="46">
        <f>I96+J96</f>
        <v>1928</v>
      </c>
      <c r="L96" s="7"/>
      <c r="M96" s="46">
        <f>K96+L96</f>
        <v>1928</v>
      </c>
      <c r="N96" s="7"/>
    </row>
    <row r="97" spans="1:14" x14ac:dyDescent="0.25">
      <c r="A97" s="83" t="s">
        <v>0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</row>
    <row r="98" spans="1:14" x14ac:dyDescent="0.25">
      <c r="A98" s="83" t="s">
        <v>93</v>
      </c>
      <c r="B98" s="114"/>
      <c r="C98" s="42">
        <f>SUM(C99:C100)</f>
        <v>0</v>
      </c>
      <c r="D98" s="42">
        <f t="shared" ref="D98:N98" si="67">SUM(D99:D100)</f>
        <v>0</v>
      </c>
      <c r="E98" s="42">
        <f t="shared" si="67"/>
        <v>0</v>
      </c>
      <c r="F98" s="42">
        <f t="shared" si="67"/>
        <v>0</v>
      </c>
      <c r="G98" s="42">
        <f t="shared" si="67"/>
        <v>0</v>
      </c>
      <c r="H98" s="42">
        <f t="shared" si="67"/>
        <v>0</v>
      </c>
      <c r="I98" s="42">
        <f t="shared" si="67"/>
        <v>0</v>
      </c>
      <c r="J98" s="42">
        <f t="shared" si="67"/>
        <v>11000</v>
      </c>
      <c r="K98" s="42">
        <f t="shared" si="67"/>
        <v>11000</v>
      </c>
      <c r="L98" s="42">
        <f t="shared" si="67"/>
        <v>19500</v>
      </c>
      <c r="M98" s="42">
        <f t="shared" si="67"/>
        <v>30500</v>
      </c>
      <c r="N98" s="42">
        <f t="shared" si="67"/>
        <v>0</v>
      </c>
    </row>
    <row r="99" spans="1:14" s="50" customFormat="1" x14ac:dyDescent="0.25">
      <c r="A99" s="68" t="s">
        <v>115</v>
      </c>
      <c r="B99" s="54">
        <v>225</v>
      </c>
      <c r="C99" s="31"/>
      <c r="D99" s="31"/>
      <c r="E99" s="55">
        <f>C99+D99</f>
        <v>0</v>
      </c>
      <c r="F99" s="31"/>
      <c r="G99" s="55">
        <f>E99+F99</f>
        <v>0</v>
      </c>
      <c r="H99" s="31"/>
      <c r="I99" s="55">
        <f>G99+H99</f>
        <v>0</v>
      </c>
      <c r="J99" s="31"/>
      <c r="K99" s="55">
        <f>I99+J99</f>
        <v>0</v>
      </c>
      <c r="L99" s="55">
        <v>7500</v>
      </c>
      <c r="M99" s="55">
        <f>K99+L99</f>
        <v>7500</v>
      </c>
      <c r="N99" s="31"/>
    </row>
    <row r="100" spans="1:14" x14ac:dyDescent="0.25">
      <c r="A100" s="49" t="s">
        <v>92</v>
      </c>
      <c r="B100" s="33">
        <v>226</v>
      </c>
      <c r="C100" s="31"/>
      <c r="D100" s="34"/>
      <c r="E100" s="34">
        <f>C100+D100</f>
        <v>0</v>
      </c>
      <c r="F100" s="34"/>
      <c r="G100" s="34">
        <f>E100+F100</f>
        <v>0</v>
      </c>
      <c r="H100" s="34"/>
      <c r="I100" s="34">
        <f>G100+H100</f>
        <v>0</v>
      </c>
      <c r="J100" s="34">
        <v>11000</v>
      </c>
      <c r="K100" s="34">
        <f>I100+J100</f>
        <v>11000</v>
      </c>
      <c r="L100" s="34">
        <v>12000</v>
      </c>
      <c r="M100" s="34">
        <f>K100+L100</f>
        <v>23000</v>
      </c>
      <c r="N100" s="34"/>
    </row>
    <row r="101" spans="1:14" x14ac:dyDescent="0.25">
      <c r="A101" s="71" t="s">
        <v>0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</row>
    <row r="102" spans="1:14" x14ac:dyDescent="0.25">
      <c r="A102" s="71" t="s">
        <v>38</v>
      </c>
      <c r="B102" s="72"/>
      <c r="C102" s="24">
        <f t="shared" ref="C102" si="68">SUM(C104:C104)</f>
        <v>0</v>
      </c>
      <c r="D102" s="24">
        <f t="shared" ref="D102:N102" si="69">SUM(D103:D104)</f>
        <v>3500</v>
      </c>
      <c r="E102" s="24">
        <f t="shared" si="69"/>
        <v>3500</v>
      </c>
      <c r="F102" s="24">
        <f t="shared" si="69"/>
        <v>3000</v>
      </c>
      <c r="G102" s="24">
        <f t="shared" si="69"/>
        <v>6500</v>
      </c>
      <c r="H102" s="24">
        <f t="shared" si="69"/>
        <v>3000</v>
      </c>
      <c r="I102" s="24">
        <f t="shared" si="69"/>
        <v>9500</v>
      </c>
      <c r="J102" s="24">
        <f t="shared" si="69"/>
        <v>3000</v>
      </c>
      <c r="K102" s="24">
        <f t="shared" si="69"/>
        <v>12500</v>
      </c>
      <c r="L102" s="24">
        <f t="shared" si="69"/>
        <v>3000</v>
      </c>
      <c r="M102" s="24">
        <f t="shared" si="69"/>
        <v>15500</v>
      </c>
      <c r="N102" s="24">
        <f t="shared" si="69"/>
        <v>0</v>
      </c>
    </row>
    <row r="103" spans="1:14" x14ac:dyDescent="0.25">
      <c r="A103" s="32" t="s">
        <v>52</v>
      </c>
      <c r="B103" s="33">
        <v>225</v>
      </c>
      <c r="C103" s="31"/>
      <c r="D103" s="34">
        <v>500</v>
      </c>
      <c r="E103" s="34">
        <f>C103+D103</f>
        <v>500</v>
      </c>
      <c r="F103" s="34"/>
      <c r="G103" s="34">
        <f>E103+F103</f>
        <v>500</v>
      </c>
      <c r="H103" s="34"/>
      <c r="I103" s="34">
        <f>G103+H103</f>
        <v>500</v>
      </c>
      <c r="J103" s="34"/>
      <c r="K103" s="34">
        <f>I103+J103</f>
        <v>500</v>
      </c>
      <c r="L103" s="34"/>
      <c r="M103" s="34">
        <f>K103+L103</f>
        <v>500</v>
      </c>
      <c r="N103" s="34"/>
    </row>
    <row r="104" spans="1:14" x14ac:dyDescent="0.25">
      <c r="A104" s="20" t="s">
        <v>31</v>
      </c>
      <c r="B104" s="19">
        <v>226</v>
      </c>
      <c r="C104" s="23"/>
      <c r="D104" s="23">
        <v>3000</v>
      </c>
      <c r="E104" s="23">
        <f>C104+D104</f>
        <v>3000</v>
      </c>
      <c r="F104" s="23">
        <v>3000</v>
      </c>
      <c r="G104" s="34">
        <f>E104+F104</f>
        <v>6000</v>
      </c>
      <c r="H104" s="23">
        <v>3000</v>
      </c>
      <c r="I104" s="34">
        <f>G104+H104</f>
        <v>9000</v>
      </c>
      <c r="J104" s="23">
        <v>3000</v>
      </c>
      <c r="K104" s="34">
        <f>I104+J104</f>
        <v>12000</v>
      </c>
      <c r="L104" s="23">
        <v>3000</v>
      </c>
      <c r="M104" s="34">
        <f>K104+L104</f>
        <v>15000</v>
      </c>
      <c r="N104" s="23"/>
    </row>
    <row r="105" spans="1:14" x14ac:dyDescent="0.25">
      <c r="A105" s="83" t="s">
        <v>0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</row>
    <row r="106" spans="1:14" x14ac:dyDescent="0.25">
      <c r="A106" s="83" t="s">
        <v>102</v>
      </c>
      <c r="B106" s="114"/>
      <c r="C106" s="42">
        <f>SUM(C107:C108)</f>
        <v>0</v>
      </c>
      <c r="D106" s="42">
        <f t="shared" ref="D106:N106" si="70">SUM(D107:D108)</f>
        <v>0</v>
      </c>
      <c r="E106" s="42">
        <f t="shared" si="70"/>
        <v>0</v>
      </c>
      <c r="F106" s="42">
        <f t="shared" si="70"/>
        <v>0</v>
      </c>
      <c r="G106" s="42">
        <f t="shared" si="70"/>
        <v>0</v>
      </c>
      <c r="H106" s="42">
        <f t="shared" si="70"/>
        <v>0</v>
      </c>
      <c r="I106" s="42">
        <f t="shared" si="70"/>
        <v>0</v>
      </c>
      <c r="J106" s="42">
        <f t="shared" si="70"/>
        <v>0</v>
      </c>
      <c r="K106" s="42">
        <f t="shared" si="70"/>
        <v>0</v>
      </c>
      <c r="L106" s="42">
        <f t="shared" si="70"/>
        <v>32506.3</v>
      </c>
      <c r="M106" s="42">
        <f t="shared" si="70"/>
        <v>32506.3</v>
      </c>
      <c r="N106" s="42">
        <f t="shared" si="70"/>
        <v>0</v>
      </c>
    </row>
    <row r="107" spans="1:14" x14ac:dyDescent="0.25">
      <c r="A107" s="59" t="s">
        <v>103</v>
      </c>
      <c r="B107" s="60">
        <v>226</v>
      </c>
      <c r="C107" s="31"/>
      <c r="D107" s="31"/>
      <c r="E107" s="34">
        <f>C107+D107</f>
        <v>0</v>
      </c>
      <c r="F107" s="31"/>
      <c r="G107" s="34">
        <f>E107+F107</f>
        <v>0</v>
      </c>
      <c r="H107" s="31"/>
      <c r="I107" s="34">
        <f>G107+H107</f>
        <v>0</v>
      </c>
      <c r="J107" s="31"/>
      <c r="K107" s="34">
        <f>I107+J107</f>
        <v>0</v>
      </c>
      <c r="L107" s="61">
        <v>19868.439999999999</v>
      </c>
      <c r="M107" s="34">
        <f>K107+L107</f>
        <v>19868.439999999999</v>
      </c>
      <c r="N107" s="61"/>
    </row>
    <row r="108" spans="1:14" x14ac:dyDescent="0.25">
      <c r="A108" s="58" t="s">
        <v>101</v>
      </c>
      <c r="B108" s="33">
        <v>310</v>
      </c>
      <c r="C108" s="31"/>
      <c r="D108" s="34"/>
      <c r="E108" s="34">
        <f>C108+D108</f>
        <v>0</v>
      </c>
      <c r="F108" s="34"/>
      <c r="G108" s="34">
        <f>E108+F108</f>
        <v>0</v>
      </c>
      <c r="H108" s="34"/>
      <c r="I108" s="34">
        <f>G108+H108</f>
        <v>0</v>
      </c>
      <c r="J108" s="34"/>
      <c r="K108" s="34">
        <f>I108+J108</f>
        <v>0</v>
      </c>
      <c r="L108" s="34">
        <v>12637.86</v>
      </c>
      <c r="M108" s="34">
        <f>K108+L108</f>
        <v>12637.86</v>
      </c>
      <c r="N108" s="34"/>
    </row>
    <row r="109" spans="1:14" x14ac:dyDescent="0.25">
      <c r="A109" s="83" t="s">
        <v>0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</row>
    <row r="110" spans="1:14" x14ac:dyDescent="0.25">
      <c r="A110" s="83" t="s">
        <v>77</v>
      </c>
      <c r="B110" s="114"/>
      <c r="C110" s="42">
        <f>C111</f>
        <v>0</v>
      </c>
      <c r="D110" s="42">
        <f t="shared" ref="D110:N110" si="71">SUM(D111:D111)</f>
        <v>0</v>
      </c>
      <c r="E110" s="42">
        <f t="shared" si="71"/>
        <v>0</v>
      </c>
      <c r="F110" s="42">
        <f t="shared" si="71"/>
        <v>0</v>
      </c>
      <c r="G110" s="42">
        <f t="shared" si="71"/>
        <v>0</v>
      </c>
      <c r="H110" s="42">
        <f t="shared" si="71"/>
        <v>65732.679999999993</v>
      </c>
      <c r="I110" s="42">
        <f t="shared" si="71"/>
        <v>65732.679999999993</v>
      </c>
      <c r="J110" s="42">
        <f t="shared" si="71"/>
        <v>0</v>
      </c>
      <c r="K110" s="42">
        <f t="shared" si="71"/>
        <v>65732.679999999993</v>
      </c>
      <c r="L110" s="42">
        <f t="shared" si="71"/>
        <v>0</v>
      </c>
      <c r="M110" s="42">
        <f t="shared" si="71"/>
        <v>65732.679999999993</v>
      </c>
      <c r="N110" s="42">
        <f t="shared" si="71"/>
        <v>0</v>
      </c>
    </row>
    <row r="111" spans="1:14" x14ac:dyDescent="0.25">
      <c r="A111" s="41" t="s">
        <v>75</v>
      </c>
      <c r="B111" s="33">
        <v>225</v>
      </c>
      <c r="C111" s="31"/>
      <c r="D111" s="34"/>
      <c r="E111" s="34">
        <f>C111+D111</f>
        <v>0</v>
      </c>
      <c r="F111" s="34"/>
      <c r="G111" s="34">
        <f>E111+F111</f>
        <v>0</v>
      </c>
      <c r="H111" s="34">
        <v>65732.679999999993</v>
      </c>
      <c r="I111" s="34">
        <f>G111+H111</f>
        <v>65732.679999999993</v>
      </c>
      <c r="J111" s="34"/>
      <c r="K111" s="34">
        <f>I111+J111</f>
        <v>65732.679999999993</v>
      </c>
      <c r="L111" s="34"/>
      <c r="M111" s="34">
        <f>K111+L111</f>
        <v>65732.679999999993</v>
      </c>
      <c r="N111" s="34"/>
    </row>
    <row r="112" spans="1:14" x14ac:dyDescent="0.25">
      <c r="A112" s="91" t="s">
        <v>0</v>
      </c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1:14" x14ac:dyDescent="0.25">
      <c r="A113" s="91" t="s">
        <v>76</v>
      </c>
      <c r="B113" s="108"/>
      <c r="C113" s="25">
        <f>SUM(C114:C115)</f>
        <v>0</v>
      </c>
      <c r="D113" s="25">
        <f t="shared" ref="D113:N113" si="72">SUM(D114:D115)</f>
        <v>0</v>
      </c>
      <c r="E113" s="25">
        <f t="shared" si="72"/>
        <v>0</v>
      </c>
      <c r="F113" s="25">
        <f t="shared" si="72"/>
        <v>0</v>
      </c>
      <c r="G113" s="25">
        <f t="shared" si="72"/>
        <v>0</v>
      </c>
      <c r="H113" s="25">
        <f t="shared" si="72"/>
        <v>70243.399999999994</v>
      </c>
      <c r="I113" s="25">
        <f t="shared" si="72"/>
        <v>70243.399999999994</v>
      </c>
      <c r="J113" s="25">
        <f t="shared" si="72"/>
        <v>0</v>
      </c>
      <c r="K113" s="25">
        <f t="shared" si="72"/>
        <v>70243.399999999994</v>
      </c>
      <c r="L113" s="25">
        <f t="shared" si="72"/>
        <v>84000</v>
      </c>
      <c r="M113" s="25">
        <f t="shared" si="72"/>
        <v>154243.4</v>
      </c>
      <c r="N113" s="25">
        <f t="shared" si="72"/>
        <v>0</v>
      </c>
    </row>
    <row r="114" spans="1:14" x14ac:dyDescent="0.25">
      <c r="A114" s="41" t="s">
        <v>75</v>
      </c>
      <c r="B114" s="33">
        <v>225</v>
      </c>
      <c r="C114" s="31"/>
      <c r="D114" s="34"/>
      <c r="E114" s="34">
        <f>C114+D114</f>
        <v>0</v>
      </c>
      <c r="F114" s="34"/>
      <c r="G114" s="34">
        <f>E114+F114</f>
        <v>0</v>
      </c>
      <c r="H114" s="34">
        <v>34243.4</v>
      </c>
      <c r="I114" s="34">
        <f>G114+H114</f>
        <v>34243.4</v>
      </c>
      <c r="J114" s="34"/>
      <c r="K114" s="34">
        <f>I114+J114</f>
        <v>34243.4</v>
      </c>
      <c r="L114" s="34"/>
      <c r="M114" s="34">
        <f>K114+L114</f>
        <v>34243.4</v>
      </c>
      <c r="N114" s="34"/>
    </row>
    <row r="115" spans="1:14" x14ac:dyDescent="0.25">
      <c r="A115" s="43" t="s">
        <v>78</v>
      </c>
      <c r="B115" s="33">
        <v>225</v>
      </c>
      <c r="C115" s="31"/>
      <c r="D115" s="34"/>
      <c r="E115" s="34">
        <f>C115+D115</f>
        <v>0</v>
      </c>
      <c r="F115" s="34"/>
      <c r="G115" s="34">
        <f>E115+F115</f>
        <v>0</v>
      </c>
      <c r="H115" s="34">
        <v>36000</v>
      </c>
      <c r="I115" s="34">
        <f>G115+H115</f>
        <v>36000</v>
      </c>
      <c r="J115" s="34"/>
      <c r="K115" s="34">
        <f>I115+J115</f>
        <v>36000</v>
      </c>
      <c r="L115" s="34">
        <v>84000</v>
      </c>
      <c r="M115" s="34">
        <f>K115+L115</f>
        <v>120000</v>
      </c>
      <c r="N115" s="34"/>
    </row>
    <row r="116" spans="1:14" x14ac:dyDescent="0.25">
      <c r="A116" s="97" t="s">
        <v>10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25">
      <c r="A117" s="28" t="s">
        <v>66</v>
      </c>
      <c r="B117" s="29">
        <v>251</v>
      </c>
      <c r="C117" s="30"/>
      <c r="D117" s="30"/>
      <c r="E117" s="30">
        <f>C117+D117</f>
        <v>0</v>
      </c>
      <c r="F117" s="30">
        <v>19430</v>
      </c>
      <c r="G117" s="30">
        <f>E117+F117</f>
        <v>19430</v>
      </c>
      <c r="H117" s="30">
        <v>0</v>
      </c>
      <c r="I117" s="30">
        <f>G117+H117</f>
        <v>19430</v>
      </c>
      <c r="J117" s="30">
        <v>0</v>
      </c>
      <c r="K117" s="30">
        <f>I117+J117</f>
        <v>19430</v>
      </c>
      <c r="L117" s="30">
        <v>19430</v>
      </c>
      <c r="M117" s="30">
        <f>K117+L117</f>
        <v>38860</v>
      </c>
      <c r="N117" s="30">
        <v>0</v>
      </c>
    </row>
    <row r="118" spans="1:14" x14ac:dyDescent="0.25">
      <c r="A118" s="73" t="s">
        <v>0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</row>
    <row r="119" spans="1:14" x14ac:dyDescent="0.25">
      <c r="A119" s="73" t="s">
        <v>72</v>
      </c>
      <c r="B119" s="74"/>
      <c r="C119" s="39">
        <f>C120</f>
        <v>0</v>
      </c>
      <c r="D119" s="39">
        <f t="shared" ref="D119:N119" si="73">SUM(D120:D120)</f>
        <v>0</v>
      </c>
      <c r="E119" s="39">
        <f t="shared" si="73"/>
        <v>0</v>
      </c>
      <c r="F119" s="39">
        <f t="shared" si="73"/>
        <v>0</v>
      </c>
      <c r="G119" s="39">
        <f t="shared" si="73"/>
        <v>0</v>
      </c>
      <c r="H119" s="39">
        <f t="shared" si="73"/>
        <v>11267</v>
      </c>
      <c r="I119" s="39">
        <f t="shared" si="73"/>
        <v>11267</v>
      </c>
      <c r="J119" s="39">
        <f t="shared" si="73"/>
        <v>0</v>
      </c>
      <c r="K119" s="39">
        <f t="shared" si="73"/>
        <v>11267</v>
      </c>
      <c r="L119" s="39">
        <f t="shared" si="73"/>
        <v>0</v>
      </c>
      <c r="M119" s="39">
        <f t="shared" si="73"/>
        <v>11267</v>
      </c>
      <c r="N119" s="39">
        <f t="shared" si="73"/>
        <v>0</v>
      </c>
    </row>
    <row r="120" spans="1:14" x14ac:dyDescent="0.25">
      <c r="A120" s="41" t="s">
        <v>71</v>
      </c>
      <c r="B120" s="33">
        <v>226</v>
      </c>
      <c r="C120" s="31"/>
      <c r="D120" s="34">
        <v>0</v>
      </c>
      <c r="E120" s="34">
        <f>C120+D120</f>
        <v>0</v>
      </c>
      <c r="F120" s="34"/>
      <c r="G120" s="34">
        <f>E120+F120</f>
        <v>0</v>
      </c>
      <c r="H120" s="34">
        <f>3380+7887</f>
        <v>11267</v>
      </c>
      <c r="I120" s="34">
        <f>G120+H120</f>
        <v>11267</v>
      </c>
      <c r="J120" s="34"/>
      <c r="K120" s="34">
        <f>I120+J120</f>
        <v>11267</v>
      </c>
      <c r="L120" s="34"/>
      <c r="M120" s="34">
        <f>K120+L120</f>
        <v>11267</v>
      </c>
      <c r="N120" s="34"/>
    </row>
    <row r="121" spans="1:14" x14ac:dyDescent="0.25">
      <c r="A121" s="99" t="s">
        <v>10</v>
      </c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</row>
    <row r="122" spans="1:14" x14ac:dyDescent="0.25">
      <c r="A122" s="75" t="s">
        <v>69</v>
      </c>
      <c r="B122" s="101"/>
      <c r="C122" s="40">
        <f>SUM(C123:C123)</f>
        <v>0</v>
      </c>
      <c r="D122" s="40">
        <f>SUM(D123:D123)</f>
        <v>0</v>
      </c>
      <c r="E122" s="40">
        <f>C122+D122</f>
        <v>0</v>
      </c>
      <c r="F122" s="40">
        <f>SUM(F123:F123)</f>
        <v>3106.11</v>
      </c>
      <c r="G122" s="40">
        <f>E122+F122</f>
        <v>3106.11</v>
      </c>
      <c r="H122" s="40">
        <f>SUM(H123:H123)</f>
        <v>0</v>
      </c>
      <c r="I122" s="40">
        <f>G122+H122</f>
        <v>3106.11</v>
      </c>
      <c r="J122" s="40">
        <f>SUM(J123:J123)</f>
        <v>0</v>
      </c>
      <c r="K122" s="40">
        <f>I122+J122</f>
        <v>3106.11</v>
      </c>
      <c r="L122" s="40">
        <f>SUM(L123:L123)</f>
        <v>0</v>
      </c>
      <c r="M122" s="40">
        <f>K122+L122</f>
        <v>3106.11</v>
      </c>
      <c r="N122" s="40">
        <f>SUM(N123:N123)</f>
        <v>0</v>
      </c>
    </row>
    <row r="123" spans="1:14" x14ac:dyDescent="0.25">
      <c r="A123" s="1" t="s">
        <v>68</v>
      </c>
      <c r="B123" s="1">
        <v>225</v>
      </c>
      <c r="C123" s="2"/>
      <c r="D123" s="1"/>
      <c r="E123" s="2">
        <f>C123+D123</f>
        <v>0</v>
      </c>
      <c r="F123" s="1">
        <v>3106.11</v>
      </c>
      <c r="G123" s="2">
        <f>E123+F123</f>
        <v>3106.11</v>
      </c>
      <c r="H123" s="1"/>
      <c r="I123" s="2">
        <f>G123+H123</f>
        <v>3106.11</v>
      </c>
      <c r="J123" s="1"/>
      <c r="K123" s="2">
        <f>I123+J123</f>
        <v>3106.11</v>
      </c>
      <c r="L123" s="1"/>
      <c r="M123" s="2">
        <f>K123+L123</f>
        <v>3106.11</v>
      </c>
      <c r="N123" s="1"/>
    </row>
    <row r="124" spans="1:14" x14ac:dyDescent="0.25">
      <c r="A124" s="106" t="s">
        <v>10</v>
      </c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1:14" x14ac:dyDescent="0.25">
      <c r="A125" s="111" t="s">
        <v>26</v>
      </c>
      <c r="B125" s="112"/>
      <c r="C125" s="21">
        <f>SUM(C126:C126)</f>
        <v>79230.86</v>
      </c>
      <c r="D125" s="21">
        <f>SUM(D126:D126)</f>
        <v>109083.87</v>
      </c>
      <c r="E125" s="21">
        <f>C125+D125</f>
        <v>188314.72999999998</v>
      </c>
      <c r="F125" s="21">
        <f>SUM(F126:F126)</f>
        <v>67203.839999999997</v>
      </c>
      <c r="G125" s="21">
        <f>E125+F125</f>
        <v>255518.56999999998</v>
      </c>
      <c r="H125" s="21">
        <f>SUM(H126:H126)</f>
        <v>48175.39</v>
      </c>
      <c r="I125" s="21">
        <f>G125+H125</f>
        <v>303693.95999999996</v>
      </c>
      <c r="J125" s="21">
        <f>SUM(J126:J126)</f>
        <v>59817.31</v>
      </c>
      <c r="K125" s="21">
        <f>I125+J125</f>
        <v>363511.26999999996</v>
      </c>
      <c r="L125" s="21">
        <f>SUM(L126:L126)</f>
        <v>29438.21</v>
      </c>
      <c r="M125" s="21">
        <f>K125+L125</f>
        <v>392949.48</v>
      </c>
      <c r="N125" s="21">
        <f>SUM(N126:N126)</f>
        <v>0</v>
      </c>
    </row>
    <row r="126" spans="1:14" x14ac:dyDescent="0.25">
      <c r="A126" s="1" t="s">
        <v>23</v>
      </c>
      <c r="B126" s="1">
        <v>223</v>
      </c>
      <c r="C126" s="2">
        <f>29922.97+40996.89+8311</f>
        <v>79230.86</v>
      </c>
      <c r="D126" s="1">
        <f>30690.67+44562.26+33830.94</f>
        <v>109083.87</v>
      </c>
      <c r="E126" s="2">
        <f>C126+D126</f>
        <v>188314.72999999998</v>
      </c>
      <c r="F126" s="1">
        <f>27098.69+32424.25+7680.9</f>
        <v>67203.839999999997</v>
      </c>
      <c r="G126" s="2">
        <f>E126+F126</f>
        <v>255518.56999999998</v>
      </c>
      <c r="H126" s="1">
        <f>19178.16+3028.25+25968.98</f>
        <v>48175.39</v>
      </c>
      <c r="I126" s="2">
        <f>G126+H126</f>
        <v>303693.95999999996</v>
      </c>
      <c r="J126" s="1">
        <f>18769.5+15733.7+25314.11</f>
        <v>59817.31</v>
      </c>
      <c r="K126" s="2">
        <f>I126+J126</f>
        <v>363511.26999999996</v>
      </c>
      <c r="L126" s="1">
        <f>13423.43+16014.78</f>
        <v>29438.21</v>
      </c>
      <c r="M126" s="2">
        <f>K126+L126</f>
        <v>392949.48</v>
      </c>
      <c r="N126" s="1"/>
    </row>
    <row r="127" spans="1:14" x14ac:dyDescent="0.25">
      <c r="A127" s="120" t="s">
        <v>10</v>
      </c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</row>
    <row r="128" spans="1:14" x14ac:dyDescent="0.25">
      <c r="A128" s="122" t="s">
        <v>84</v>
      </c>
      <c r="B128" s="123"/>
      <c r="C128" s="48">
        <f>SUM(C129:C129)</f>
        <v>0</v>
      </c>
      <c r="D128" s="48">
        <f>SUM(D129:D129)</f>
        <v>0</v>
      </c>
      <c r="E128" s="48">
        <f>C128+D128</f>
        <v>0</v>
      </c>
      <c r="F128" s="48">
        <f>SUM(F129:F129)</f>
        <v>0</v>
      </c>
      <c r="G128" s="48">
        <f>E128+F128</f>
        <v>0</v>
      </c>
      <c r="H128" s="48">
        <f>SUM(H129:H129)</f>
        <v>26415.1</v>
      </c>
      <c r="I128" s="48">
        <f>G128+H128</f>
        <v>26415.1</v>
      </c>
      <c r="J128" s="48">
        <f>SUM(J129:J129)</f>
        <v>0</v>
      </c>
      <c r="K128" s="48">
        <f>I128+J128</f>
        <v>26415.1</v>
      </c>
      <c r="L128" s="48">
        <f>SUM(L129:L129)</f>
        <v>0</v>
      </c>
      <c r="M128" s="48">
        <f>K128+L128</f>
        <v>26415.1</v>
      </c>
      <c r="N128" s="48">
        <f>SUM(N129:N129)</f>
        <v>0</v>
      </c>
    </row>
    <row r="129" spans="1:14" x14ac:dyDescent="0.25">
      <c r="A129" s="1" t="s">
        <v>85</v>
      </c>
      <c r="B129" s="1">
        <v>225</v>
      </c>
      <c r="C129" s="2"/>
      <c r="D129" s="1"/>
      <c r="E129" s="2">
        <f>C129+D129</f>
        <v>0</v>
      </c>
      <c r="F129" s="1"/>
      <c r="G129" s="2">
        <f>E129+F129</f>
        <v>0</v>
      </c>
      <c r="H129" s="2">
        <v>26415.1</v>
      </c>
      <c r="I129" s="2">
        <f>G129+H129</f>
        <v>26415.1</v>
      </c>
      <c r="J129" s="1"/>
      <c r="K129" s="2">
        <f>I129+J129</f>
        <v>26415.1</v>
      </c>
      <c r="L129" s="1"/>
      <c r="M129" s="2">
        <f>K129+L129</f>
        <v>26415.1</v>
      </c>
      <c r="N129" s="1"/>
    </row>
    <row r="130" spans="1:14" x14ac:dyDescent="0.25">
      <c r="A130" s="109" t="s">
        <v>10</v>
      </c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</row>
    <row r="131" spans="1:14" x14ac:dyDescent="0.25">
      <c r="A131" s="91" t="s">
        <v>34</v>
      </c>
      <c r="B131" s="108"/>
      <c r="C131" s="25">
        <f>SUM(C132:C135)</f>
        <v>0</v>
      </c>
      <c r="D131" s="25">
        <f t="shared" ref="D131:N131" si="74">SUM(D132:D135)</f>
        <v>32488</v>
      </c>
      <c r="E131" s="25">
        <f t="shared" si="74"/>
        <v>32488</v>
      </c>
      <c r="F131" s="25">
        <f t="shared" si="74"/>
        <v>32488</v>
      </c>
      <c r="G131" s="25">
        <f t="shared" si="74"/>
        <v>64976</v>
      </c>
      <c r="H131" s="25">
        <f t="shared" si="74"/>
        <v>54534.92</v>
      </c>
      <c r="I131" s="25">
        <f t="shared" si="74"/>
        <v>119510.92</v>
      </c>
      <c r="J131" s="25">
        <f t="shared" si="74"/>
        <v>100142.18000000001</v>
      </c>
      <c r="K131" s="25">
        <f t="shared" si="74"/>
        <v>219653.1</v>
      </c>
      <c r="L131" s="25">
        <f t="shared" si="74"/>
        <v>15970.21</v>
      </c>
      <c r="M131" s="25">
        <f t="shared" si="74"/>
        <v>235623.31</v>
      </c>
      <c r="N131" s="25">
        <f t="shared" si="74"/>
        <v>0</v>
      </c>
    </row>
    <row r="132" spans="1:14" x14ac:dyDescent="0.25">
      <c r="A132" s="1" t="s">
        <v>33</v>
      </c>
      <c r="B132" s="1">
        <v>225</v>
      </c>
      <c r="C132" s="7"/>
      <c r="D132" s="7">
        <v>32488</v>
      </c>
      <c r="E132" s="7">
        <f>C132+D132</f>
        <v>32488</v>
      </c>
      <c r="F132" s="7">
        <v>32488</v>
      </c>
      <c r="G132" s="7">
        <f>E132+F132</f>
        <v>64976</v>
      </c>
      <c r="H132" s="7">
        <v>32488</v>
      </c>
      <c r="I132" s="7">
        <f>G132+H132</f>
        <v>97464</v>
      </c>
      <c r="J132" s="7">
        <v>29239.200000000001</v>
      </c>
      <c r="K132" s="7">
        <f>I132+J132</f>
        <v>126703.2</v>
      </c>
      <c r="L132" s="7"/>
      <c r="M132" s="7">
        <f>K132+L132</f>
        <v>126703.2</v>
      </c>
      <c r="N132" s="7"/>
    </row>
    <row r="133" spans="1:14" x14ac:dyDescent="0.25">
      <c r="A133" s="1" t="s">
        <v>91</v>
      </c>
      <c r="B133" s="1">
        <v>225</v>
      </c>
      <c r="C133" s="7"/>
      <c r="D133" s="7"/>
      <c r="E133" s="7">
        <f t="shared" ref="E133:E135" si="75">C133+D133</f>
        <v>0</v>
      </c>
      <c r="F133" s="7"/>
      <c r="G133" s="7">
        <f t="shared" ref="G133:G135" si="76">E133+F133</f>
        <v>0</v>
      </c>
      <c r="H133" s="7"/>
      <c r="I133" s="7">
        <f>G133+H133</f>
        <v>0</v>
      </c>
      <c r="J133" s="7">
        <v>9000</v>
      </c>
      <c r="K133" s="7">
        <f>I133+J133</f>
        <v>9000</v>
      </c>
      <c r="L133" s="7"/>
      <c r="M133" s="7">
        <f>K133+L133</f>
        <v>9000</v>
      </c>
      <c r="N133" s="7"/>
    </row>
    <row r="134" spans="1:14" x14ac:dyDescent="0.25">
      <c r="A134" s="1" t="s">
        <v>94</v>
      </c>
      <c r="B134" s="1">
        <v>225</v>
      </c>
      <c r="C134" s="7"/>
      <c r="D134" s="7"/>
      <c r="E134" s="7">
        <f t="shared" si="75"/>
        <v>0</v>
      </c>
      <c r="F134" s="7"/>
      <c r="G134" s="7">
        <f t="shared" si="76"/>
        <v>0</v>
      </c>
      <c r="H134" s="7"/>
      <c r="I134" s="7">
        <f>G134+H134</f>
        <v>0</v>
      </c>
      <c r="J134" s="7">
        <f>11872.58+33818.85</f>
        <v>45691.43</v>
      </c>
      <c r="K134" s="7">
        <f>I134+J134</f>
        <v>45691.43</v>
      </c>
      <c r="L134" s="7">
        <v>14054</v>
      </c>
      <c r="M134" s="7">
        <f>K134+L134</f>
        <v>59745.43</v>
      </c>
      <c r="N134" s="7"/>
    </row>
    <row r="135" spans="1:14" x14ac:dyDescent="0.25">
      <c r="A135" s="1" t="s">
        <v>105</v>
      </c>
      <c r="B135" s="1">
        <v>225</v>
      </c>
      <c r="C135" s="7"/>
      <c r="D135" s="7"/>
      <c r="E135" s="7">
        <f t="shared" si="75"/>
        <v>0</v>
      </c>
      <c r="F135" s="7"/>
      <c r="G135" s="7">
        <f t="shared" si="76"/>
        <v>0</v>
      </c>
      <c r="H135" s="7">
        <f>3.03+43.99+77.37+197+333.75+1320.03+9342.33+1396+447.76+611+787.43+3396.76+4090.47</f>
        <v>22046.920000000002</v>
      </c>
      <c r="I135" s="7">
        <f>G135+H135</f>
        <v>22046.920000000002</v>
      </c>
      <c r="J135" s="7">
        <f>361.64+635.99+1620+2743.48+10850.44</f>
        <v>16211.550000000001</v>
      </c>
      <c r="K135" s="7">
        <f>I135+J135</f>
        <v>38258.47</v>
      </c>
      <c r="L135" s="7">
        <f>250+1666.21</f>
        <v>1916.21</v>
      </c>
      <c r="M135" s="7">
        <f>K135+L135</f>
        <v>40174.68</v>
      </c>
      <c r="N135" s="7"/>
    </row>
    <row r="136" spans="1:14" x14ac:dyDescent="0.25">
      <c r="A136" s="109" t="s">
        <v>10</v>
      </c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</row>
    <row r="137" spans="1:14" x14ac:dyDescent="0.25">
      <c r="A137" s="91" t="s">
        <v>104</v>
      </c>
      <c r="B137" s="108"/>
      <c r="C137" s="25">
        <f t="shared" ref="C137:N137" si="77">SUM(C138:C138)</f>
        <v>0</v>
      </c>
      <c r="D137" s="25">
        <f t="shared" si="77"/>
        <v>0</v>
      </c>
      <c r="E137" s="25">
        <f t="shared" si="77"/>
        <v>0</v>
      </c>
      <c r="F137" s="25">
        <f t="shared" si="77"/>
        <v>0</v>
      </c>
      <c r="G137" s="25">
        <f t="shared" si="77"/>
        <v>0</v>
      </c>
      <c r="H137" s="25">
        <f t="shared" si="77"/>
        <v>0</v>
      </c>
      <c r="I137" s="25">
        <f t="shared" si="77"/>
        <v>0</v>
      </c>
      <c r="J137" s="25">
        <f t="shared" si="77"/>
        <v>0</v>
      </c>
      <c r="K137" s="25">
        <f t="shared" si="77"/>
        <v>0</v>
      </c>
      <c r="L137" s="25">
        <f t="shared" si="77"/>
        <v>5141.8500000000004</v>
      </c>
      <c r="M137" s="25">
        <f t="shared" si="77"/>
        <v>5141.8500000000004</v>
      </c>
      <c r="N137" s="25">
        <f t="shared" si="77"/>
        <v>0</v>
      </c>
    </row>
    <row r="138" spans="1:14" x14ac:dyDescent="0.25">
      <c r="A138" s="1" t="s">
        <v>105</v>
      </c>
      <c r="B138" s="1">
        <v>225</v>
      </c>
      <c r="C138" s="7"/>
      <c r="D138" s="7"/>
      <c r="E138" s="7">
        <f>C138+D138</f>
        <v>0</v>
      </c>
      <c r="F138" s="7"/>
      <c r="G138" s="7">
        <f>E138+F138</f>
        <v>0</v>
      </c>
      <c r="H138" s="7"/>
      <c r="I138" s="7">
        <f>G138+H138</f>
        <v>0</v>
      </c>
      <c r="J138" s="7"/>
      <c r="K138" s="7">
        <f>I138+J138</f>
        <v>0</v>
      </c>
      <c r="L138" s="7">
        <f>157.45+276.89+458+1194.45+3055.06</f>
        <v>5141.8500000000004</v>
      </c>
      <c r="M138" s="7">
        <f>K138+L138</f>
        <v>5141.8500000000004</v>
      </c>
      <c r="N138" s="7"/>
    </row>
    <row r="139" spans="1:14" x14ac:dyDescent="0.25">
      <c r="A139" s="87" t="s">
        <v>10</v>
      </c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</row>
    <row r="140" spans="1:14" x14ac:dyDescent="0.25">
      <c r="A140" s="71" t="s">
        <v>70</v>
      </c>
      <c r="B140" s="72"/>
      <c r="C140" s="24">
        <f>SUM(C141:C141)</f>
        <v>0</v>
      </c>
      <c r="D140" s="24">
        <f>SUM(D141:D141)</f>
        <v>0</v>
      </c>
      <c r="E140" s="24">
        <f>C140+D140</f>
        <v>0</v>
      </c>
      <c r="F140" s="24">
        <f>SUM(F141:F141)</f>
        <v>24877.14</v>
      </c>
      <c r="G140" s="24">
        <f>E140+F140</f>
        <v>24877.14</v>
      </c>
      <c r="H140" s="24">
        <f>SUM(H141:H141)</f>
        <v>0</v>
      </c>
      <c r="I140" s="24">
        <f>G140+H140</f>
        <v>24877.14</v>
      </c>
      <c r="J140" s="24">
        <f>SUM(J141:J141)</f>
        <v>0</v>
      </c>
      <c r="K140" s="24">
        <f>I140+J140</f>
        <v>24877.14</v>
      </c>
      <c r="L140" s="24">
        <f>SUM(L141:L141)</f>
        <v>24460.480000000003</v>
      </c>
      <c r="M140" s="24">
        <f>K140+L140</f>
        <v>49337.62</v>
      </c>
      <c r="N140" s="24">
        <f>SUM(N141:N141)</f>
        <v>0</v>
      </c>
    </row>
    <row r="141" spans="1:14" x14ac:dyDescent="0.25">
      <c r="A141" s="1" t="s">
        <v>114</v>
      </c>
      <c r="B141" s="1">
        <v>225</v>
      </c>
      <c r="C141" s="7"/>
      <c r="D141" s="7"/>
      <c r="E141" s="7">
        <f>C141+D141</f>
        <v>0</v>
      </c>
      <c r="F141" s="7">
        <v>24877.14</v>
      </c>
      <c r="G141" s="7">
        <f>E141+F141</f>
        <v>24877.14</v>
      </c>
      <c r="H141" s="7"/>
      <c r="I141" s="7">
        <f>G141+H141</f>
        <v>24877.14</v>
      </c>
      <c r="J141" s="7"/>
      <c r="K141" s="7">
        <f>I141+J141</f>
        <v>24877.14</v>
      </c>
      <c r="L141" s="7">
        <f>20383.72+4076.76</f>
        <v>24460.480000000003</v>
      </c>
      <c r="M141" s="7">
        <f>K141+L141</f>
        <v>49337.62</v>
      </c>
      <c r="N141" s="7"/>
    </row>
    <row r="142" spans="1:14" x14ac:dyDescent="0.25">
      <c r="A142" s="115" t="s">
        <v>10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x14ac:dyDescent="0.25">
      <c r="A143" s="73" t="s">
        <v>60</v>
      </c>
      <c r="B143" s="74"/>
      <c r="C143" s="39">
        <f>SUM(C144:C144)</f>
        <v>0</v>
      </c>
      <c r="D143" s="39">
        <f>SUM(D144:D144)</f>
        <v>0</v>
      </c>
      <c r="E143" s="39">
        <f>C143+D143</f>
        <v>0</v>
      </c>
      <c r="F143" s="39">
        <f>SUM(F144:F144)</f>
        <v>29406</v>
      </c>
      <c r="G143" s="39">
        <f>E143+F143</f>
        <v>29406</v>
      </c>
      <c r="H143" s="39">
        <f>SUM(H144:H144)</f>
        <v>68614</v>
      </c>
      <c r="I143" s="39">
        <f>G143+H143</f>
        <v>98020</v>
      </c>
      <c r="J143" s="39">
        <f>SUM(J144:J144)</f>
        <v>0</v>
      </c>
      <c r="K143" s="39">
        <f>I143+J143</f>
        <v>98020</v>
      </c>
      <c r="L143" s="39">
        <f>SUM(L144:L144)</f>
        <v>0</v>
      </c>
      <c r="M143" s="39">
        <f>K143+L143</f>
        <v>98020</v>
      </c>
      <c r="N143" s="39">
        <f>SUM(N144:N144)</f>
        <v>0</v>
      </c>
    </row>
    <row r="144" spans="1:14" x14ac:dyDescent="0.25">
      <c r="A144" s="1" t="s">
        <v>59</v>
      </c>
      <c r="B144" s="1">
        <v>340</v>
      </c>
      <c r="C144" s="7"/>
      <c r="D144" s="7"/>
      <c r="E144" s="7">
        <f>C144+D144</f>
        <v>0</v>
      </c>
      <c r="F144" s="7">
        <v>29406</v>
      </c>
      <c r="G144" s="7">
        <f>E144+F144</f>
        <v>29406</v>
      </c>
      <c r="H144" s="7">
        <f>68614</f>
        <v>68614</v>
      </c>
      <c r="I144" s="7">
        <f>G144+H144</f>
        <v>98020</v>
      </c>
      <c r="J144" s="7"/>
      <c r="K144" s="7">
        <f>I144+J144</f>
        <v>98020</v>
      </c>
      <c r="L144" s="7"/>
      <c r="M144" s="7">
        <f>K144+L144</f>
        <v>98020</v>
      </c>
      <c r="N144" s="7"/>
    </row>
    <row r="145" spans="1:14" x14ac:dyDescent="0.25">
      <c r="A145" s="87" t="s">
        <v>10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</row>
    <row r="146" spans="1:14" x14ac:dyDescent="0.25">
      <c r="A146" s="71" t="s">
        <v>108</v>
      </c>
      <c r="B146" s="72"/>
      <c r="C146" s="24">
        <f>SUM(C147:C147)</f>
        <v>0</v>
      </c>
      <c r="D146" s="24">
        <f>SUM(D147:D147)</f>
        <v>0</v>
      </c>
      <c r="E146" s="24">
        <f>C146+D146</f>
        <v>0</v>
      </c>
      <c r="F146" s="24">
        <f>SUM(F147:F147)</f>
        <v>0</v>
      </c>
      <c r="G146" s="24">
        <f>E146+F146</f>
        <v>0</v>
      </c>
      <c r="H146" s="24">
        <f>SUM(H147:H147)</f>
        <v>0</v>
      </c>
      <c r="I146" s="24">
        <f>G146+H146</f>
        <v>0</v>
      </c>
      <c r="J146" s="24">
        <f>SUM(J147:J147)</f>
        <v>0</v>
      </c>
      <c r="K146" s="24">
        <f>I146+J146</f>
        <v>0</v>
      </c>
      <c r="L146" s="24">
        <f>SUM(L147:L147)</f>
        <v>87280</v>
      </c>
      <c r="M146" s="24">
        <f>K146+L146</f>
        <v>87280</v>
      </c>
      <c r="N146" s="24">
        <f>SUM(N147:N147)</f>
        <v>0</v>
      </c>
    </row>
    <row r="147" spans="1:14" x14ac:dyDescent="0.25">
      <c r="A147" s="1" t="s">
        <v>113</v>
      </c>
      <c r="B147" s="1">
        <v>241</v>
      </c>
      <c r="C147" s="7"/>
      <c r="D147" s="7"/>
      <c r="E147" s="7">
        <f>C147+D147</f>
        <v>0</v>
      </c>
      <c r="F147" s="7"/>
      <c r="G147" s="7">
        <f>E147+F147</f>
        <v>0</v>
      </c>
      <c r="H147" s="7"/>
      <c r="I147" s="7">
        <f>G147+H147</f>
        <v>0</v>
      </c>
      <c r="J147" s="7"/>
      <c r="K147" s="7">
        <f>I147+J147</f>
        <v>0</v>
      </c>
      <c r="L147" s="7">
        <v>87280</v>
      </c>
      <c r="M147" s="7">
        <f>K147+L147</f>
        <v>87280</v>
      </c>
      <c r="N147" s="7"/>
    </row>
    <row r="148" spans="1:14" x14ac:dyDescent="0.25">
      <c r="A148" s="97" t="s">
        <v>10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</row>
    <row r="149" spans="1:14" x14ac:dyDescent="0.25">
      <c r="A149" s="28" t="s">
        <v>27</v>
      </c>
      <c r="B149" s="29">
        <v>241</v>
      </c>
      <c r="C149" s="30">
        <v>1000000</v>
      </c>
      <c r="D149" s="30">
        <v>500000</v>
      </c>
      <c r="E149" s="30">
        <f>C149+D149</f>
        <v>1500000</v>
      </c>
      <c r="F149" s="30">
        <v>1188600</v>
      </c>
      <c r="G149" s="30">
        <f>E149+F149</f>
        <v>2688600</v>
      </c>
      <c r="H149" s="30">
        <v>1000000</v>
      </c>
      <c r="I149" s="30">
        <f>G149+H149</f>
        <v>3688600</v>
      </c>
      <c r="J149" s="30">
        <v>1000000</v>
      </c>
      <c r="K149" s="30">
        <f>I149+J149</f>
        <v>4688600</v>
      </c>
      <c r="L149" s="30">
        <v>816560</v>
      </c>
      <c r="M149" s="30">
        <f>K149+L149</f>
        <v>5505160</v>
      </c>
      <c r="N149" s="30">
        <v>0</v>
      </c>
    </row>
    <row r="150" spans="1:14" x14ac:dyDescent="0.25">
      <c r="A150" s="87" t="s">
        <v>10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</row>
    <row r="151" spans="1:14" x14ac:dyDescent="0.25">
      <c r="A151" s="71" t="s">
        <v>65</v>
      </c>
      <c r="B151" s="72"/>
      <c r="C151" s="24">
        <f>SUM(C152:C152)</f>
        <v>0</v>
      </c>
      <c r="D151" s="24">
        <f>SUM(D152:D152)</f>
        <v>0</v>
      </c>
      <c r="E151" s="24">
        <f>C151+D151</f>
        <v>0</v>
      </c>
      <c r="F151" s="24">
        <f>SUM(F152:F152)</f>
        <v>1000</v>
      </c>
      <c r="G151" s="24">
        <f>E151+F151</f>
        <v>1000</v>
      </c>
      <c r="H151" s="24">
        <f>SUM(H152:H152)</f>
        <v>0</v>
      </c>
      <c r="I151" s="24">
        <f>G151+H151</f>
        <v>1000</v>
      </c>
      <c r="J151" s="24">
        <f>SUM(J152:J152)</f>
        <v>1000</v>
      </c>
      <c r="K151" s="24">
        <f>I151+J151</f>
        <v>2000</v>
      </c>
      <c r="L151" s="24">
        <f>SUM(L152:L152)</f>
        <v>0</v>
      </c>
      <c r="M151" s="24">
        <f>K151+L151</f>
        <v>2000</v>
      </c>
      <c r="N151" s="24">
        <f>SUM(N152:N152)</f>
        <v>0</v>
      </c>
    </row>
    <row r="152" spans="1:14" x14ac:dyDescent="0.25">
      <c r="A152" s="1" t="s">
        <v>112</v>
      </c>
      <c r="B152" s="1">
        <v>221</v>
      </c>
      <c r="C152" s="7"/>
      <c r="D152" s="7"/>
      <c r="E152" s="7">
        <f>C152+D152</f>
        <v>0</v>
      </c>
      <c r="F152" s="7">
        <v>1000</v>
      </c>
      <c r="G152" s="7">
        <f>E152+F152</f>
        <v>1000</v>
      </c>
      <c r="H152" s="7"/>
      <c r="I152" s="7">
        <f>G152+H152</f>
        <v>1000</v>
      </c>
      <c r="J152" s="7">
        <v>1000</v>
      </c>
      <c r="K152" s="7">
        <f>I152+J152</f>
        <v>2000</v>
      </c>
      <c r="L152" s="7"/>
      <c r="M152" s="7">
        <f>K152+L152</f>
        <v>2000</v>
      </c>
      <c r="N152" s="7"/>
    </row>
    <row r="153" spans="1:14" x14ac:dyDescent="0.25">
      <c r="A153" s="87" t="s">
        <v>10</v>
      </c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</row>
    <row r="154" spans="1:14" x14ac:dyDescent="0.25">
      <c r="A154" s="71" t="s">
        <v>74</v>
      </c>
      <c r="B154" s="72"/>
      <c r="C154" s="24">
        <f>SUM(C155:C155)</f>
        <v>0</v>
      </c>
      <c r="D154" s="24">
        <f>SUM(D155:D155)</f>
        <v>0</v>
      </c>
      <c r="E154" s="24">
        <f>C154+D154</f>
        <v>0</v>
      </c>
      <c r="F154" s="24">
        <f>SUM(F155:F155)</f>
        <v>0</v>
      </c>
      <c r="G154" s="24">
        <f>E154+F154</f>
        <v>0</v>
      </c>
      <c r="H154" s="24">
        <f>SUM(H155:H155)</f>
        <v>20000</v>
      </c>
      <c r="I154" s="24">
        <f>G154+H154</f>
        <v>20000</v>
      </c>
      <c r="J154" s="24">
        <f>SUM(J155:J155)</f>
        <v>5516</v>
      </c>
      <c r="K154" s="24">
        <f>I154+J154</f>
        <v>25516</v>
      </c>
      <c r="L154" s="24">
        <f>SUM(L155:L155)</f>
        <v>3500</v>
      </c>
      <c r="M154" s="24">
        <f>K154+L154</f>
        <v>29016</v>
      </c>
      <c r="N154" s="24">
        <f>SUM(N155:N155)</f>
        <v>0</v>
      </c>
    </row>
    <row r="155" spans="1:14" x14ac:dyDescent="0.25">
      <c r="A155" s="1" t="s">
        <v>73</v>
      </c>
      <c r="B155" s="1">
        <v>290</v>
      </c>
      <c r="C155" s="7"/>
      <c r="D155" s="7"/>
      <c r="E155" s="7">
        <f>C155+D155</f>
        <v>0</v>
      </c>
      <c r="F155" s="7"/>
      <c r="G155" s="7">
        <f>E155+F155</f>
        <v>0</v>
      </c>
      <c r="H155" s="7">
        <v>20000</v>
      </c>
      <c r="I155" s="7">
        <f>G155+H155</f>
        <v>20000</v>
      </c>
      <c r="J155" s="7">
        <f>1966+3550</f>
        <v>5516</v>
      </c>
      <c r="K155" s="7">
        <f>I155+J155</f>
        <v>25516</v>
      </c>
      <c r="L155" s="7">
        <v>3500</v>
      </c>
      <c r="M155" s="7">
        <f>K155+L155</f>
        <v>29016</v>
      </c>
      <c r="N155" s="7"/>
    </row>
    <row r="156" spans="1:14" x14ac:dyDescent="0.25">
      <c r="A156" s="87" t="s">
        <v>10</v>
      </c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</row>
    <row r="157" spans="1:14" x14ac:dyDescent="0.25">
      <c r="A157" s="71" t="s">
        <v>97</v>
      </c>
      <c r="B157" s="72"/>
      <c r="C157" s="24">
        <f>C158+C159</f>
        <v>0</v>
      </c>
      <c r="D157" s="24">
        <f t="shared" ref="D157:N157" si="78">D158+D159</f>
        <v>0</v>
      </c>
      <c r="E157" s="24">
        <f t="shared" si="78"/>
        <v>0</v>
      </c>
      <c r="F157" s="24">
        <f t="shared" si="78"/>
        <v>0</v>
      </c>
      <c r="G157" s="24">
        <f t="shared" si="78"/>
        <v>0</v>
      </c>
      <c r="H157" s="24">
        <f t="shared" si="78"/>
        <v>0</v>
      </c>
      <c r="I157" s="24">
        <f t="shared" si="78"/>
        <v>0</v>
      </c>
      <c r="J157" s="24">
        <f t="shared" si="78"/>
        <v>20000</v>
      </c>
      <c r="K157" s="24">
        <f t="shared" si="78"/>
        <v>20000</v>
      </c>
      <c r="L157" s="24">
        <f t="shared" si="78"/>
        <v>0</v>
      </c>
      <c r="M157" s="24">
        <f t="shared" si="78"/>
        <v>20000</v>
      </c>
      <c r="N157" s="24">
        <f t="shared" si="78"/>
        <v>0</v>
      </c>
    </row>
    <row r="158" spans="1:14" s="50" customFormat="1" x14ac:dyDescent="0.25">
      <c r="A158" s="51" t="s">
        <v>95</v>
      </c>
      <c r="B158" s="52">
        <v>226</v>
      </c>
      <c r="C158" s="53"/>
      <c r="D158" s="53"/>
      <c r="E158" s="53">
        <f>C158+D158</f>
        <v>0</v>
      </c>
      <c r="F158" s="53"/>
      <c r="G158" s="53">
        <f>E158+F158</f>
        <v>0</v>
      </c>
      <c r="H158" s="53"/>
      <c r="I158" s="53">
        <f>G158+H158</f>
        <v>0</v>
      </c>
      <c r="J158" s="53">
        <v>9599</v>
      </c>
      <c r="K158" s="53">
        <f>I158+J158</f>
        <v>9599</v>
      </c>
      <c r="L158" s="53"/>
      <c r="M158" s="53">
        <f>K158+L158</f>
        <v>9599</v>
      </c>
      <c r="N158" s="53"/>
    </row>
    <row r="159" spans="1:14" x14ac:dyDescent="0.25">
      <c r="A159" s="1" t="s">
        <v>96</v>
      </c>
      <c r="B159" s="1">
        <v>226</v>
      </c>
      <c r="C159" s="7"/>
      <c r="D159" s="7"/>
      <c r="E159" s="7">
        <f>C159+D159</f>
        <v>0</v>
      </c>
      <c r="F159" s="7"/>
      <c r="G159" s="7">
        <f>E159+F159</f>
        <v>0</v>
      </c>
      <c r="H159" s="7"/>
      <c r="I159" s="7">
        <f>G159+H159</f>
        <v>0</v>
      </c>
      <c r="J159" s="7">
        <v>10401</v>
      </c>
      <c r="K159" s="7">
        <f>I159+J159</f>
        <v>10401</v>
      </c>
      <c r="L159" s="7"/>
      <c r="M159" s="7">
        <f>K159+L159</f>
        <v>10401</v>
      </c>
      <c r="N159" s="7"/>
    </row>
    <row r="160" spans="1:14" x14ac:dyDescent="0.25">
      <c r="A160" s="99" t="s">
        <v>10</v>
      </c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</row>
    <row r="161" spans="1:14" x14ac:dyDescent="0.25">
      <c r="A161" s="75" t="s">
        <v>39</v>
      </c>
      <c r="B161" s="101"/>
      <c r="C161" s="26">
        <f>SUM(C162:C167)</f>
        <v>0</v>
      </c>
      <c r="D161" s="26">
        <f t="shared" ref="D161:N161" si="79">SUM(D162:D167)</f>
        <v>15000</v>
      </c>
      <c r="E161" s="26">
        <f t="shared" si="79"/>
        <v>15000</v>
      </c>
      <c r="F161" s="26">
        <f t="shared" si="79"/>
        <v>0</v>
      </c>
      <c r="G161" s="26">
        <f t="shared" si="79"/>
        <v>15000</v>
      </c>
      <c r="H161" s="26">
        <f t="shared" si="79"/>
        <v>27000</v>
      </c>
      <c r="I161" s="26">
        <f t="shared" si="79"/>
        <v>42000</v>
      </c>
      <c r="J161" s="26">
        <f t="shared" si="79"/>
        <v>0</v>
      </c>
      <c r="K161" s="26">
        <f t="shared" si="79"/>
        <v>42000</v>
      </c>
      <c r="L161" s="26">
        <f t="shared" si="79"/>
        <v>0</v>
      </c>
      <c r="M161" s="26">
        <f t="shared" si="79"/>
        <v>42000</v>
      </c>
      <c r="N161" s="26">
        <f t="shared" si="79"/>
        <v>0</v>
      </c>
    </row>
    <row r="162" spans="1:14" x14ac:dyDescent="0.25">
      <c r="A162" s="1" t="s">
        <v>44</v>
      </c>
      <c r="B162" s="1">
        <v>290</v>
      </c>
      <c r="C162" s="7"/>
      <c r="D162" s="7">
        <v>7000</v>
      </c>
      <c r="E162" s="7">
        <f>C162+D162</f>
        <v>7000</v>
      </c>
      <c r="F162" s="7"/>
      <c r="G162" s="7">
        <f>E162+F162</f>
        <v>7000</v>
      </c>
      <c r="H162" s="7"/>
      <c r="I162" s="7">
        <f>G162+H162</f>
        <v>7000</v>
      </c>
      <c r="J162" s="7"/>
      <c r="K162" s="7">
        <f>I162+J162</f>
        <v>7000</v>
      </c>
      <c r="L162" s="7"/>
      <c r="M162" s="7">
        <f>K162+L162</f>
        <v>7000</v>
      </c>
      <c r="N162" s="7"/>
    </row>
    <row r="163" spans="1:14" x14ac:dyDescent="0.25">
      <c r="A163" s="1" t="s">
        <v>46</v>
      </c>
      <c r="B163" s="1">
        <v>290</v>
      </c>
      <c r="C163" s="7"/>
      <c r="D163" s="7">
        <v>4000</v>
      </c>
      <c r="E163" s="7">
        <f t="shared" ref="E163:E167" si="80">C163+D163</f>
        <v>4000</v>
      </c>
      <c r="F163" s="7"/>
      <c r="G163" s="7">
        <f t="shared" ref="G163:G167" si="81">E163+F163</f>
        <v>4000</v>
      </c>
      <c r="H163" s="7"/>
      <c r="I163" s="7">
        <f t="shared" ref="I163:I167" si="82">G163+H163</f>
        <v>4000</v>
      </c>
      <c r="J163" s="7"/>
      <c r="K163" s="7">
        <f t="shared" ref="K163:K164" si="83">I163+J163</f>
        <v>4000</v>
      </c>
      <c r="L163" s="7"/>
      <c r="M163" s="7">
        <f t="shared" ref="M163:M167" si="84">K163+L163</f>
        <v>4000</v>
      </c>
      <c r="N163" s="7"/>
    </row>
    <row r="164" spans="1:14" x14ac:dyDescent="0.25">
      <c r="A164" s="1" t="s">
        <v>45</v>
      </c>
      <c r="B164" s="1">
        <v>290</v>
      </c>
      <c r="C164" s="7"/>
      <c r="D164" s="7">
        <v>4000</v>
      </c>
      <c r="E164" s="7">
        <f t="shared" si="80"/>
        <v>4000</v>
      </c>
      <c r="F164" s="7"/>
      <c r="G164" s="7">
        <f t="shared" si="81"/>
        <v>4000</v>
      </c>
      <c r="H164" s="7"/>
      <c r="I164" s="7">
        <f t="shared" si="82"/>
        <v>4000</v>
      </c>
      <c r="J164" s="7"/>
      <c r="K164" s="7">
        <f t="shared" si="83"/>
        <v>4000</v>
      </c>
      <c r="L164" s="7"/>
      <c r="M164" s="7">
        <f t="shared" si="84"/>
        <v>4000</v>
      </c>
      <c r="N164" s="7"/>
    </row>
    <row r="165" spans="1:14" x14ac:dyDescent="0.25">
      <c r="A165" s="1" t="s">
        <v>86</v>
      </c>
      <c r="B165" s="1">
        <v>290</v>
      </c>
      <c r="C165" s="7"/>
      <c r="D165" s="7"/>
      <c r="E165" s="7">
        <f t="shared" si="80"/>
        <v>0</v>
      </c>
      <c r="F165" s="7"/>
      <c r="G165" s="7">
        <f t="shared" si="81"/>
        <v>0</v>
      </c>
      <c r="H165" s="7">
        <v>4000</v>
      </c>
      <c r="I165" s="7">
        <f t="shared" si="82"/>
        <v>4000</v>
      </c>
      <c r="J165" s="7"/>
      <c r="K165" s="7">
        <f>I165</f>
        <v>4000</v>
      </c>
      <c r="L165" s="7"/>
      <c r="M165" s="7">
        <f t="shared" si="84"/>
        <v>4000</v>
      </c>
      <c r="N165" s="7"/>
    </row>
    <row r="166" spans="1:14" x14ac:dyDescent="0.25">
      <c r="A166" s="1" t="s">
        <v>111</v>
      </c>
      <c r="B166" s="1">
        <v>290</v>
      </c>
      <c r="C166" s="7"/>
      <c r="D166" s="7"/>
      <c r="E166" s="7">
        <f t="shared" si="80"/>
        <v>0</v>
      </c>
      <c r="F166" s="7"/>
      <c r="G166" s="7">
        <f t="shared" si="81"/>
        <v>0</v>
      </c>
      <c r="H166" s="7">
        <v>15000</v>
      </c>
      <c r="I166" s="7">
        <f t="shared" si="82"/>
        <v>15000</v>
      </c>
      <c r="J166" s="7"/>
      <c r="K166" s="7">
        <f t="shared" ref="K166:K167" si="85">I166</f>
        <v>15000</v>
      </c>
      <c r="L166" s="7"/>
      <c r="M166" s="7">
        <f t="shared" si="84"/>
        <v>15000</v>
      </c>
      <c r="N166" s="7"/>
    </row>
    <row r="167" spans="1:14" x14ac:dyDescent="0.25">
      <c r="A167" s="1" t="s">
        <v>87</v>
      </c>
      <c r="B167" s="1">
        <v>290</v>
      </c>
      <c r="C167" s="7"/>
      <c r="D167" s="7"/>
      <c r="E167" s="7">
        <f t="shared" si="80"/>
        <v>0</v>
      </c>
      <c r="F167" s="7"/>
      <c r="G167" s="7">
        <f t="shared" si="81"/>
        <v>0</v>
      </c>
      <c r="H167" s="7">
        <v>8000</v>
      </c>
      <c r="I167" s="7">
        <f t="shared" si="82"/>
        <v>8000</v>
      </c>
      <c r="J167" s="7"/>
      <c r="K167" s="7">
        <f t="shared" si="85"/>
        <v>8000</v>
      </c>
      <c r="L167" s="7"/>
      <c r="M167" s="7">
        <f t="shared" si="84"/>
        <v>8000</v>
      </c>
      <c r="N167" s="7"/>
    </row>
    <row r="168" spans="1:14" x14ac:dyDescent="0.25">
      <c r="A168" s="70" t="s">
        <v>125</v>
      </c>
      <c r="B168" s="22"/>
      <c r="C168" s="38">
        <f>D176+C161+C154+C151+C149+C143+C140+C131+C125+C122+C119+C117+C113+C110+C102+C87+C83+C80+C77+C74+C70+C30+C26+C22+C18+C15+C11+C8+C4+C62+C128+C54+C98+C157+C66+C106+C137+C146</f>
        <v>1200015.02</v>
      </c>
      <c r="D168" s="38">
        <f t="shared" ref="D168:M168" si="86">E176+D161+D154+D151+D149+D143+D140+D131+D125+D122+D119+D117+D113+D110+D102+D87+D83+D80+D77+D74+D70+D30+D26+D22+D18+D15+D11+D8+D4+D62+D128+D54+D98+D157+D66+D106+D137+D146</f>
        <v>1175304.21</v>
      </c>
      <c r="E168" s="38">
        <f t="shared" si="86"/>
        <v>2375319.2299999995</v>
      </c>
      <c r="F168" s="38">
        <f t="shared" si="86"/>
        <v>1770466.07</v>
      </c>
      <c r="G168" s="38">
        <f t="shared" si="86"/>
        <v>4145785.2999999993</v>
      </c>
      <c r="H168" s="38">
        <f t="shared" si="86"/>
        <v>1777554.5799999998</v>
      </c>
      <c r="I168" s="38">
        <f t="shared" si="86"/>
        <v>5923339.879999999</v>
      </c>
      <c r="J168" s="38">
        <f t="shared" si="86"/>
        <v>1560471.34</v>
      </c>
      <c r="K168" s="38">
        <f t="shared" si="86"/>
        <v>7483811.2199999988</v>
      </c>
      <c r="L168" s="38">
        <f t="shared" si="86"/>
        <v>1562631.4900000002</v>
      </c>
      <c r="M168" s="38">
        <f t="shared" si="86"/>
        <v>9046442.7100000009</v>
      </c>
      <c r="N168" s="38" t="e">
        <f>#REF!+N161+N154+N151+N149+N143+N140+N131+N125+N122+N119+N117+N113+N110+N102+N87+N83+N80+N77+N74+N70+N30+N26+N22+N18+N15+N11+N8+N4+N62+N128+N54+N98+N157+N66+N106+N137+N146</f>
        <v>#REF!</v>
      </c>
    </row>
    <row r="169" spans="1:14" x14ac:dyDescent="0.25">
      <c r="G169" s="3"/>
    </row>
    <row r="170" spans="1:14" ht="18.75" x14ac:dyDescent="0.3">
      <c r="A170" s="124" t="s">
        <v>128</v>
      </c>
      <c r="B170" s="124"/>
      <c r="C170" s="124">
        <v>1200015.02</v>
      </c>
      <c r="D170" s="124">
        <v>1175304.21</v>
      </c>
      <c r="E170" s="124">
        <f>C170+D170</f>
        <v>2375319.23</v>
      </c>
      <c r="F170" s="124">
        <v>1770466.07</v>
      </c>
      <c r="G170" s="124"/>
      <c r="H170" s="125" t="s">
        <v>131</v>
      </c>
      <c r="I170" s="3"/>
      <c r="K170" s="3"/>
      <c r="M170" s="3"/>
    </row>
    <row r="171" spans="1:14" ht="18.75" x14ac:dyDescent="0.3">
      <c r="A171" s="124"/>
      <c r="B171" s="124"/>
      <c r="C171" s="124"/>
      <c r="D171" s="124"/>
      <c r="E171" s="124"/>
      <c r="F171" s="124"/>
      <c r="G171" s="124"/>
      <c r="H171" s="124"/>
    </row>
    <row r="172" spans="1:14" ht="18.75" x14ac:dyDescent="0.3">
      <c r="A172" s="124" t="s">
        <v>129</v>
      </c>
      <c r="B172" s="124"/>
      <c r="C172" s="124"/>
      <c r="D172" s="124"/>
      <c r="E172" s="124"/>
      <c r="F172" s="124"/>
      <c r="G172" s="124"/>
      <c r="H172" s="124" t="s">
        <v>130</v>
      </c>
    </row>
  </sheetData>
  <mergeCells count="74">
    <mergeCell ref="A11:B11"/>
    <mergeCell ref="A15:B15"/>
    <mergeCell ref="A127:N127"/>
    <mergeCell ref="A128:B128"/>
    <mergeCell ref="A97:N97"/>
    <mergeCell ref="A98:B98"/>
    <mergeCell ref="A105:N105"/>
    <mergeCell ref="A106:B106"/>
    <mergeCell ref="A14:N14"/>
    <mergeCell ref="A17:N17"/>
    <mergeCell ref="A29:N29"/>
    <mergeCell ref="A33:B33"/>
    <mergeCell ref="A41:B41"/>
    <mergeCell ref="A118:N118"/>
    <mergeCell ref="A119:B119"/>
    <mergeCell ref="A109:N109"/>
    <mergeCell ref="A110:B110"/>
    <mergeCell ref="A39:B39"/>
    <mergeCell ref="A89:B89"/>
    <mergeCell ref="A93:B93"/>
    <mergeCell ref="A161:B161"/>
    <mergeCell ref="A79:N79"/>
    <mergeCell ref="A80:B80"/>
    <mergeCell ref="A82:N82"/>
    <mergeCell ref="A86:N86"/>
    <mergeCell ref="A124:N124"/>
    <mergeCell ref="A148:N148"/>
    <mergeCell ref="A101:N101"/>
    <mergeCell ref="A131:B131"/>
    <mergeCell ref="A130:N130"/>
    <mergeCell ref="A102:B102"/>
    <mergeCell ref="A125:B125"/>
    <mergeCell ref="A150:N150"/>
    <mergeCell ref="A156:N156"/>
    <mergeCell ref="A157:B157"/>
    <mergeCell ref="A154:B154"/>
    <mergeCell ref="A121:N121"/>
    <mergeCell ref="A122:B122"/>
    <mergeCell ref="A73:N73"/>
    <mergeCell ref="A77:B77"/>
    <mergeCell ref="A160:N160"/>
    <mergeCell ref="A153:N153"/>
    <mergeCell ref="A112:N112"/>
    <mergeCell ref="A113:B113"/>
    <mergeCell ref="A142:N142"/>
    <mergeCell ref="A151:B151"/>
    <mergeCell ref="A140:B140"/>
    <mergeCell ref="A145:N145"/>
    <mergeCell ref="A146:B146"/>
    <mergeCell ref="A139:N139"/>
    <mergeCell ref="A136:N136"/>
    <mergeCell ref="A137:B137"/>
    <mergeCell ref="A65:N65"/>
    <mergeCell ref="A66:B66"/>
    <mergeCell ref="A54:B54"/>
    <mergeCell ref="A95:B95"/>
    <mergeCell ref="A116:N116"/>
    <mergeCell ref="A74:B74"/>
    <mergeCell ref="A4:B4"/>
    <mergeCell ref="A8:B8"/>
    <mergeCell ref="A143:B143"/>
    <mergeCell ref="A76:N76"/>
    <mergeCell ref="A1:L1"/>
    <mergeCell ref="A69:N69"/>
    <mergeCell ref="A70:B70"/>
    <mergeCell ref="A46:B46"/>
    <mergeCell ref="A56:B56"/>
    <mergeCell ref="A31:B31"/>
    <mergeCell ref="A61:N61"/>
    <mergeCell ref="A25:N25"/>
    <mergeCell ref="A3:N3"/>
    <mergeCell ref="A7:N7"/>
    <mergeCell ref="A10:N10"/>
    <mergeCell ref="A21:N21"/>
  </mergeCells>
  <pageMargins left="0.39370078740157483" right="0" top="0.19685039370078741" bottom="0.19685039370078741" header="0.31496062992125984" footer="0.31496062992125984"/>
  <pageSetup paperSize="9" scale="8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2014-07-11T01:50:13Z</dcterms:modified>
</cp:coreProperties>
</file>