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tabRatio="601"/>
  </bookViews>
  <sheets>
    <sheet name="Лист1" sheetId="1" r:id="rId1"/>
  </sheets>
  <definedNames>
    <definedName name="_xlnm._FilterDatabase" localSheetId="0" hidden="1">Лист1!$A$2:$Y$199</definedName>
  </definedNames>
  <calcPr calcId="145621"/>
</workbook>
</file>

<file path=xl/calcChain.xml><?xml version="1.0" encoding="utf-8"?>
<calcChain xmlns="http://schemas.openxmlformats.org/spreadsheetml/2006/main">
  <c r="D81" i="1" l="1"/>
  <c r="F81" i="1"/>
  <c r="H81" i="1"/>
  <c r="L81" i="1"/>
  <c r="N81" i="1"/>
  <c r="P81" i="1"/>
  <c r="R81" i="1"/>
  <c r="T81" i="1"/>
  <c r="V81" i="1"/>
  <c r="X81" i="1"/>
  <c r="C81" i="1"/>
  <c r="D141" i="1"/>
  <c r="F141" i="1"/>
  <c r="H141" i="1"/>
  <c r="J141" i="1"/>
  <c r="L141" i="1"/>
  <c r="N141" i="1"/>
  <c r="P141" i="1"/>
  <c r="R141" i="1"/>
  <c r="T141" i="1"/>
  <c r="V141" i="1"/>
  <c r="X141" i="1"/>
  <c r="E143" i="1"/>
  <c r="G143" i="1" s="1"/>
  <c r="I143" i="1" s="1"/>
  <c r="K143" i="1" s="1"/>
  <c r="M143" i="1" s="1"/>
  <c r="O143" i="1" s="1"/>
  <c r="Q143" i="1" s="1"/>
  <c r="S143" i="1" s="1"/>
  <c r="U143" i="1" s="1"/>
  <c r="W143" i="1" s="1"/>
  <c r="Y143" i="1" s="1"/>
  <c r="C141" i="1"/>
  <c r="E185" i="1" l="1"/>
  <c r="G185" i="1" s="1"/>
  <c r="G184" i="1" s="1"/>
  <c r="D184" i="1"/>
  <c r="E184" i="1"/>
  <c r="F184" i="1"/>
  <c r="H184" i="1"/>
  <c r="J184" i="1"/>
  <c r="L184" i="1"/>
  <c r="N184" i="1"/>
  <c r="P184" i="1"/>
  <c r="R184" i="1"/>
  <c r="T184" i="1"/>
  <c r="V184" i="1"/>
  <c r="X184" i="1"/>
  <c r="C184" i="1"/>
  <c r="E197" i="1"/>
  <c r="G197" i="1" s="1"/>
  <c r="I197" i="1" s="1"/>
  <c r="K197" i="1" s="1"/>
  <c r="M197" i="1" s="1"/>
  <c r="O197" i="1" s="1"/>
  <c r="Q197" i="1" s="1"/>
  <c r="R173" i="1"/>
  <c r="E182" i="1"/>
  <c r="G182" i="1" s="1"/>
  <c r="D181" i="1"/>
  <c r="E181" i="1"/>
  <c r="F181" i="1"/>
  <c r="H181" i="1"/>
  <c r="J181" i="1"/>
  <c r="L181" i="1"/>
  <c r="N181" i="1"/>
  <c r="P181" i="1"/>
  <c r="R181" i="1"/>
  <c r="T181" i="1"/>
  <c r="V181" i="1"/>
  <c r="X181" i="1"/>
  <c r="C181" i="1"/>
  <c r="E85" i="1"/>
  <c r="G85" i="1" s="1"/>
  <c r="D84" i="1"/>
  <c r="E84" i="1"/>
  <c r="F84" i="1"/>
  <c r="H84" i="1"/>
  <c r="J84" i="1"/>
  <c r="L84" i="1"/>
  <c r="N84" i="1"/>
  <c r="P84" i="1"/>
  <c r="R84" i="1"/>
  <c r="T84" i="1"/>
  <c r="V84" i="1"/>
  <c r="X84" i="1"/>
  <c r="C84" i="1"/>
  <c r="R12" i="1"/>
  <c r="R13" i="1"/>
  <c r="P91" i="1"/>
  <c r="P92" i="1"/>
  <c r="G84" i="1" l="1"/>
  <c r="I85" i="1"/>
  <c r="I182" i="1"/>
  <c r="G181" i="1"/>
  <c r="I185" i="1"/>
  <c r="R100" i="1"/>
  <c r="S101" i="1"/>
  <c r="U101" i="1" s="1"/>
  <c r="W101" i="1" s="1"/>
  <c r="Y101" i="1" s="1"/>
  <c r="I84" i="1" l="1"/>
  <c r="K85" i="1"/>
  <c r="I184" i="1"/>
  <c r="K185" i="1"/>
  <c r="K182" i="1"/>
  <c r="I181" i="1"/>
  <c r="R139" i="1"/>
  <c r="R91" i="1"/>
  <c r="K184" i="1" l="1"/>
  <c r="M185" i="1"/>
  <c r="M85" i="1"/>
  <c r="K84" i="1"/>
  <c r="K181" i="1"/>
  <c r="M182" i="1"/>
  <c r="R32" i="1"/>
  <c r="S197" i="1"/>
  <c r="U197" i="1" s="1"/>
  <c r="W197" i="1" s="1"/>
  <c r="Y197" i="1" s="1"/>
  <c r="R23" i="1"/>
  <c r="R5" i="1"/>
  <c r="M181" i="1" l="1"/>
  <c r="O182" i="1"/>
  <c r="M184" i="1"/>
  <c r="O185" i="1"/>
  <c r="O85" i="1"/>
  <c r="M84" i="1"/>
  <c r="S54" i="1"/>
  <c r="U54" i="1" s="1"/>
  <c r="W54" i="1" s="1"/>
  <c r="Y54" i="1" s="1"/>
  <c r="O184" i="1" l="1"/>
  <c r="Q185" i="1"/>
  <c r="O181" i="1"/>
  <c r="Q182" i="1"/>
  <c r="O84" i="1"/>
  <c r="Q85" i="1"/>
  <c r="J82" i="1"/>
  <c r="J81" i="1" s="1"/>
  <c r="E82" i="1"/>
  <c r="R24" i="1"/>
  <c r="R6" i="1"/>
  <c r="R92" i="1"/>
  <c r="G82" i="1" l="1"/>
  <c r="E81" i="1"/>
  <c r="Q84" i="1"/>
  <c r="S85" i="1"/>
  <c r="Q181" i="1"/>
  <c r="S182" i="1"/>
  <c r="Q184" i="1"/>
  <c r="S185" i="1"/>
  <c r="E152" i="1"/>
  <c r="G152" i="1" s="1"/>
  <c r="I152" i="1" s="1"/>
  <c r="K152" i="1" s="1"/>
  <c r="M152" i="1" s="1"/>
  <c r="O152" i="1" s="1"/>
  <c r="Q152" i="1" s="1"/>
  <c r="S152" i="1" s="1"/>
  <c r="U152" i="1" s="1"/>
  <c r="W152" i="1" s="1"/>
  <c r="Y152" i="1" s="1"/>
  <c r="P162" i="1"/>
  <c r="I82" i="1" l="1"/>
  <c r="G81" i="1"/>
  <c r="U185" i="1"/>
  <c r="S184" i="1"/>
  <c r="S181" i="1"/>
  <c r="U182" i="1"/>
  <c r="U85" i="1"/>
  <c r="S84" i="1"/>
  <c r="E128" i="1"/>
  <c r="G128" i="1" s="1"/>
  <c r="D125" i="1"/>
  <c r="F125" i="1"/>
  <c r="H125" i="1"/>
  <c r="J125" i="1"/>
  <c r="L125" i="1"/>
  <c r="N125" i="1"/>
  <c r="P125" i="1"/>
  <c r="R125" i="1"/>
  <c r="T125" i="1"/>
  <c r="V125" i="1"/>
  <c r="X125" i="1"/>
  <c r="C125" i="1"/>
  <c r="E122" i="1"/>
  <c r="D121" i="1"/>
  <c r="F121" i="1"/>
  <c r="H121" i="1"/>
  <c r="J121" i="1"/>
  <c r="L121" i="1"/>
  <c r="N121" i="1"/>
  <c r="P121" i="1"/>
  <c r="R121" i="1"/>
  <c r="T121" i="1"/>
  <c r="V121" i="1"/>
  <c r="X121" i="1"/>
  <c r="C121" i="1"/>
  <c r="P179" i="1"/>
  <c r="P52" i="1"/>
  <c r="K82" i="1" l="1"/>
  <c r="I81" i="1"/>
  <c r="U181" i="1"/>
  <c r="W182" i="1"/>
  <c r="W85" i="1"/>
  <c r="U84" i="1"/>
  <c r="W185" i="1"/>
  <c r="U184" i="1"/>
  <c r="I128" i="1"/>
  <c r="K128" i="1" s="1"/>
  <c r="M128" i="1" s="1"/>
  <c r="G122" i="1"/>
  <c r="E157" i="1"/>
  <c r="G157" i="1" s="1"/>
  <c r="X156" i="1"/>
  <c r="V156" i="1"/>
  <c r="T156" i="1"/>
  <c r="R156" i="1"/>
  <c r="P156" i="1"/>
  <c r="N156" i="1"/>
  <c r="L156" i="1"/>
  <c r="J156" i="1"/>
  <c r="H156" i="1"/>
  <c r="F156" i="1"/>
  <c r="D156" i="1"/>
  <c r="C156" i="1"/>
  <c r="D146" i="1"/>
  <c r="F146" i="1"/>
  <c r="H146" i="1"/>
  <c r="J146" i="1"/>
  <c r="L146" i="1"/>
  <c r="N146" i="1"/>
  <c r="P146" i="1"/>
  <c r="R146" i="1"/>
  <c r="T146" i="1"/>
  <c r="V146" i="1"/>
  <c r="X146" i="1"/>
  <c r="C146" i="1"/>
  <c r="D148" i="1"/>
  <c r="F148" i="1"/>
  <c r="N148" i="1"/>
  <c r="P148" i="1"/>
  <c r="R148" i="1"/>
  <c r="T148" i="1"/>
  <c r="V148" i="1"/>
  <c r="X148" i="1"/>
  <c r="C148" i="1"/>
  <c r="D154" i="1"/>
  <c r="F154" i="1"/>
  <c r="H154" i="1"/>
  <c r="J154" i="1"/>
  <c r="L154" i="1"/>
  <c r="N154" i="1"/>
  <c r="P154" i="1"/>
  <c r="R154" i="1"/>
  <c r="T154" i="1"/>
  <c r="V154" i="1"/>
  <c r="X154" i="1"/>
  <c r="C154" i="1"/>
  <c r="E155" i="1"/>
  <c r="G155" i="1" s="1"/>
  <c r="E147" i="1"/>
  <c r="E146" i="1" s="1"/>
  <c r="E62" i="1"/>
  <c r="G62" i="1" s="1"/>
  <c r="I62" i="1" s="1"/>
  <c r="K62" i="1" s="1"/>
  <c r="M62" i="1" s="1"/>
  <c r="O62" i="1" s="1"/>
  <c r="Q62" i="1" s="1"/>
  <c r="S62" i="1" s="1"/>
  <c r="U62" i="1" s="1"/>
  <c r="W62" i="1" s="1"/>
  <c r="Y62" i="1" s="1"/>
  <c r="P49" i="1"/>
  <c r="P139" i="1"/>
  <c r="P12" i="1"/>
  <c r="P23" i="1"/>
  <c r="P5" i="1"/>
  <c r="M82" i="1" l="1"/>
  <c r="K81" i="1"/>
  <c r="W181" i="1"/>
  <c r="Y182" i="1"/>
  <c r="Y181" i="1" s="1"/>
  <c r="Y185" i="1"/>
  <c r="Y184" i="1" s="1"/>
  <c r="W184" i="1"/>
  <c r="Y85" i="1"/>
  <c r="Y84" i="1" s="1"/>
  <c r="W84" i="1"/>
  <c r="G147" i="1"/>
  <c r="I147" i="1" s="1"/>
  <c r="I146" i="1" s="1"/>
  <c r="I155" i="1"/>
  <c r="G154" i="1"/>
  <c r="E154" i="1"/>
  <c r="I122" i="1"/>
  <c r="O128" i="1"/>
  <c r="I157" i="1"/>
  <c r="G156" i="1"/>
  <c r="E156" i="1"/>
  <c r="P34" i="1"/>
  <c r="P173" i="1"/>
  <c r="O82" i="1" l="1"/>
  <c r="M81" i="1"/>
  <c r="G146" i="1"/>
  <c r="K147" i="1"/>
  <c r="M147" i="1" s="1"/>
  <c r="Q128" i="1"/>
  <c r="K122" i="1"/>
  <c r="K155" i="1"/>
  <c r="I154" i="1"/>
  <c r="K157" i="1"/>
  <c r="I156" i="1"/>
  <c r="E115" i="1"/>
  <c r="Q82" i="1" l="1"/>
  <c r="O81" i="1"/>
  <c r="K146" i="1"/>
  <c r="M146" i="1"/>
  <c r="O147" i="1"/>
  <c r="M155" i="1"/>
  <c r="K154" i="1"/>
  <c r="G115" i="1"/>
  <c r="M122" i="1"/>
  <c r="S128" i="1"/>
  <c r="U128" i="1" s="1"/>
  <c r="W128" i="1" s="1"/>
  <c r="Y128" i="1" s="1"/>
  <c r="M157" i="1"/>
  <c r="K156" i="1"/>
  <c r="E118" i="1"/>
  <c r="G118" i="1" s="1"/>
  <c r="D117" i="1"/>
  <c r="D114" i="1" s="1"/>
  <c r="F117" i="1"/>
  <c r="F114" i="1" s="1"/>
  <c r="H117" i="1"/>
  <c r="H114" i="1" s="1"/>
  <c r="J117" i="1"/>
  <c r="J114" i="1" s="1"/>
  <c r="L117" i="1"/>
  <c r="L114" i="1" s="1"/>
  <c r="N117" i="1"/>
  <c r="N114" i="1" s="1"/>
  <c r="P117" i="1"/>
  <c r="P114" i="1" s="1"/>
  <c r="R117" i="1"/>
  <c r="R114" i="1" s="1"/>
  <c r="T117" i="1"/>
  <c r="T114" i="1" s="1"/>
  <c r="V117" i="1"/>
  <c r="V114" i="1" s="1"/>
  <c r="X117" i="1"/>
  <c r="X114" i="1" s="1"/>
  <c r="C117" i="1"/>
  <c r="C114" i="1" s="1"/>
  <c r="S82" i="1" l="1"/>
  <c r="Q81" i="1"/>
  <c r="I118" i="1"/>
  <c r="O146" i="1"/>
  <c r="Q147" i="1"/>
  <c r="O122" i="1"/>
  <c r="I115" i="1"/>
  <c r="O155" i="1"/>
  <c r="M154" i="1"/>
  <c r="O157" i="1"/>
  <c r="M156" i="1"/>
  <c r="P32" i="1"/>
  <c r="U82" i="1" l="1"/>
  <c r="S81" i="1"/>
  <c r="K115" i="1"/>
  <c r="Q122" i="1"/>
  <c r="Q146" i="1"/>
  <c r="S147" i="1"/>
  <c r="Q155" i="1"/>
  <c r="O154" i="1"/>
  <c r="K118" i="1"/>
  <c r="Q157" i="1"/>
  <c r="O156" i="1"/>
  <c r="P13" i="1"/>
  <c r="P24" i="1"/>
  <c r="E46" i="1"/>
  <c r="G46" i="1" s="1"/>
  <c r="I46" i="1" s="1"/>
  <c r="K46" i="1" s="1"/>
  <c r="M46" i="1" s="1"/>
  <c r="O46" i="1" s="1"/>
  <c r="Q46" i="1" s="1"/>
  <c r="S46" i="1" s="1"/>
  <c r="D41" i="1"/>
  <c r="F41" i="1"/>
  <c r="H41" i="1"/>
  <c r="J41" i="1"/>
  <c r="L41" i="1"/>
  <c r="N41" i="1"/>
  <c r="P41" i="1"/>
  <c r="R41" i="1"/>
  <c r="T41" i="1"/>
  <c r="V41" i="1"/>
  <c r="X41" i="1"/>
  <c r="C41" i="1"/>
  <c r="P6" i="1"/>
  <c r="W82" i="1" l="1"/>
  <c r="U81" i="1"/>
  <c r="S146" i="1"/>
  <c r="U147" i="1"/>
  <c r="S122" i="1"/>
  <c r="M115" i="1"/>
  <c r="M118" i="1"/>
  <c r="S155" i="1"/>
  <c r="Q154" i="1"/>
  <c r="S157" i="1"/>
  <c r="Q156" i="1"/>
  <c r="U46" i="1"/>
  <c r="N162" i="1"/>
  <c r="Y82" i="1" l="1"/>
  <c r="Y81" i="1" s="1"/>
  <c r="W81" i="1"/>
  <c r="O118" i="1"/>
  <c r="O115" i="1"/>
  <c r="U146" i="1"/>
  <c r="W147" i="1"/>
  <c r="U155" i="1"/>
  <c r="S154" i="1"/>
  <c r="U122" i="1"/>
  <c r="U157" i="1"/>
  <c r="S156" i="1"/>
  <c r="W46" i="1"/>
  <c r="N23" i="1"/>
  <c r="N5" i="1"/>
  <c r="N24" i="1"/>
  <c r="N12" i="1"/>
  <c r="W122" i="1" l="1"/>
  <c r="W146" i="1"/>
  <c r="Y147" i="1"/>
  <c r="Y146" i="1" s="1"/>
  <c r="W155" i="1"/>
  <c r="U154" i="1"/>
  <c r="Q115" i="1"/>
  <c r="S115" i="1" s="1"/>
  <c r="U115" i="1" s="1"/>
  <c r="W115" i="1" s="1"/>
  <c r="Y115" i="1" s="1"/>
  <c r="Q118" i="1"/>
  <c r="S118" i="1" s="1"/>
  <c r="U118" i="1" s="1"/>
  <c r="W118" i="1" s="1"/>
  <c r="Y118" i="1" s="1"/>
  <c r="W157" i="1"/>
  <c r="U156" i="1"/>
  <c r="Y46" i="1"/>
  <c r="N92" i="1"/>
  <c r="N91" i="1"/>
  <c r="Y122" i="1" l="1"/>
  <c r="Y155" i="1"/>
  <c r="Y154" i="1" s="1"/>
  <c r="W154" i="1"/>
  <c r="Y157" i="1"/>
  <c r="Y156" i="1" s="1"/>
  <c r="W156" i="1"/>
  <c r="N52" i="1"/>
  <c r="N139" i="1" l="1"/>
  <c r="N6" i="1" l="1"/>
  <c r="E159" i="1"/>
  <c r="G159" i="1" s="1"/>
  <c r="D158" i="1"/>
  <c r="D145" i="1" s="1"/>
  <c r="E158" i="1"/>
  <c r="F158" i="1"/>
  <c r="F145" i="1" s="1"/>
  <c r="H158" i="1"/>
  <c r="J158" i="1"/>
  <c r="L158" i="1"/>
  <c r="N158" i="1"/>
  <c r="N145" i="1" s="1"/>
  <c r="P158" i="1"/>
  <c r="P145" i="1" s="1"/>
  <c r="R158" i="1"/>
  <c r="R145" i="1" s="1"/>
  <c r="T158" i="1"/>
  <c r="T145" i="1" s="1"/>
  <c r="V158" i="1"/>
  <c r="V145" i="1" s="1"/>
  <c r="X158" i="1"/>
  <c r="X145" i="1" s="1"/>
  <c r="C158" i="1"/>
  <c r="C145" i="1" s="1"/>
  <c r="D58" i="1"/>
  <c r="F58" i="1"/>
  <c r="H58" i="1"/>
  <c r="L58" i="1"/>
  <c r="N58" i="1"/>
  <c r="P58" i="1"/>
  <c r="R58" i="1"/>
  <c r="T58" i="1"/>
  <c r="V58" i="1"/>
  <c r="X58" i="1"/>
  <c r="C58" i="1"/>
  <c r="E64" i="1"/>
  <c r="G64" i="1" s="1"/>
  <c r="I64" i="1" s="1"/>
  <c r="K64" i="1" s="1"/>
  <c r="M64" i="1" s="1"/>
  <c r="O64" i="1" s="1"/>
  <c r="N13" i="1"/>
  <c r="I159" i="1" l="1"/>
  <c r="G158" i="1"/>
  <c r="Q64" i="1"/>
  <c r="S64" i="1" s="1"/>
  <c r="U64" i="1" s="1"/>
  <c r="I158" i="1" l="1"/>
  <c r="K159" i="1"/>
  <c r="W64" i="1"/>
  <c r="E201" i="1"/>
  <c r="G201" i="1" s="1"/>
  <c r="I201" i="1" s="1"/>
  <c r="K201" i="1" s="1"/>
  <c r="L91" i="1"/>
  <c r="D100" i="1"/>
  <c r="F100" i="1"/>
  <c r="H100" i="1"/>
  <c r="J100" i="1"/>
  <c r="L100" i="1"/>
  <c r="N100" i="1"/>
  <c r="P100" i="1"/>
  <c r="T100" i="1"/>
  <c r="V100" i="1"/>
  <c r="X100" i="1"/>
  <c r="C100" i="1"/>
  <c r="E102" i="1"/>
  <c r="G102" i="1" s="1"/>
  <c r="G100" i="1" s="1"/>
  <c r="C103" i="1"/>
  <c r="D103" i="1"/>
  <c r="F103" i="1"/>
  <c r="H103" i="1"/>
  <c r="J103" i="1"/>
  <c r="L103" i="1"/>
  <c r="N103" i="1"/>
  <c r="P103" i="1"/>
  <c r="R103" i="1"/>
  <c r="T103" i="1"/>
  <c r="V103" i="1"/>
  <c r="X103" i="1"/>
  <c r="E104" i="1"/>
  <c r="E103" i="1" s="1"/>
  <c r="L92" i="1"/>
  <c r="D96" i="1"/>
  <c r="F96" i="1"/>
  <c r="H96" i="1"/>
  <c r="J96" i="1"/>
  <c r="L96" i="1"/>
  <c r="N96" i="1"/>
  <c r="P96" i="1"/>
  <c r="R96" i="1"/>
  <c r="T96" i="1"/>
  <c r="V96" i="1"/>
  <c r="X96" i="1"/>
  <c r="C96" i="1"/>
  <c r="E99" i="1"/>
  <c r="G99" i="1" s="1"/>
  <c r="I99" i="1" s="1"/>
  <c r="E171" i="1"/>
  <c r="G171" i="1" s="1"/>
  <c r="I171" i="1" s="1"/>
  <c r="K171" i="1" s="1"/>
  <c r="M171" i="1" s="1"/>
  <c r="O171" i="1" s="1"/>
  <c r="Q171" i="1" s="1"/>
  <c r="S171" i="1" s="1"/>
  <c r="U171" i="1" s="1"/>
  <c r="W171" i="1" s="1"/>
  <c r="Y171" i="1" s="1"/>
  <c r="Y170" i="1" s="1"/>
  <c r="X170" i="1"/>
  <c r="V170" i="1"/>
  <c r="T170" i="1"/>
  <c r="R170" i="1"/>
  <c r="P170" i="1"/>
  <c r="N170" i="1"/>
  <c r="L170" i="1"/>
  <c r="J170" i="1"/>
  <c r="H170" i="1"/>
  <c r="F170" i="1"/>
  <c r="D170" i="1"/>
  <c r="C170" i="1"/>
  <c r="L12" i="1"/>
  <c r="L13" i="1"/>
  <c r="D70" i="1"/>
  <c r="F70" i="1"/>
  <c r="H70" i="1"/>
  <c r="J70" i="1"/>
  <c r="L70" i="1"/>
  <c r="N70" i="1"/>
  <c r="P70" i="1"/>
  <c r="R70" i="1"/>
  <c r="T70" i="1"/>
  <c r="V70" i="1"/>
  <c r="X70" i="1"/>
  <c r="C70" i="1"/>
  <c r="E71" i="1"/>
  <c r="G71" i="1" s="1"/>
  <c r="L162" i="1"/>
  <c r="E162" i="1"/>
  <c r="G162" i="1" s="1"/>
  <c r="X161" i="1"/>
  <c r="V161" i="1"/>
  <c r="T161" i="1"/>
  <c r="R161" i="1"/>
  <c r="P161" i="1"/>
  <c r="N161" i="1"/>
  <c r="L161" i="1"/>
  <c r="J161" i="1"/>
  <c r="H161" i="1"/>
  <c r="F161" i="1"/>
  <c r="D161" i="1"/>
  <c r="C161" i="1"/>
  <c r="L23" i="1"/>
  <c r="L5" i="1"/>
  <c r="L165" i="1"/>
  <c r="E116" i="1"/>
  <c r="L139" i="1"/>
  <c r="C139" i="1"/>
  <c r="E119" i="1"/>
  <c r="E53" i="1"/>
  <c r="G53" i="1" s="1"/>
  <c r="I53" i="1" s="1"/>
  <c r="K53" i="1" s="1"/>
  <c r="M53" i="1" s="1"/>
  <c r="O53" i="1" s="1"/>
  <c r="Q53" i="1" s="1"/>
  <c r="S53" i="1" s="1"/>
  <c r="U53" i="1" s="1"/>
  <c r="W53" i="1" s="1"/>
  <c r="Y53" i="1" s="1"/>
  <c r="L40" i="1"/>
  <c r="L153" i="1"/>
  <c r="L148" i="1" s="1"/>
  <c r="L145" i="1" s="1"/>
  <c r="L24" i="1"/>
  <c r="L6" i="1"/>
  <c r="E170" i="1" l="1"/>
  <c r="G170" i="1" s="1"/>
  <c r="I170" i="1" s="1"/>
  <c r="C94" i="1"/>
  <c r="V94" i="1"/>
  <c r="R94" i="1"/>
  <c r="N94" i="1"/>
  <c r="J94" i="1"/>
  <c r="F94" i="1"/>
  <c r="X94" i="1"/>
  <c r="T94" i="1"/>
  <c r="P94" i="1"/>
  <c r="H94" i="1"/>
  <c r="D94" i="1"/>
  <c r="I71" i="1"/>
  <c r="G104" i="1"/>
  <c r="G103" i="1" s="1"/>
  <c r="L94" i="1"/>
  <c r="K158" i="1"/>
  <c r="M159" i="1"/>
  <c r="G116" i="1"/>
  <c r="I116" i="1" s="1"/>
  <c r="G119" i="1"/>
  <c r="G117" i="1" s="1"/>
  <c r="E117" i="1"/>
  <c r="E114" i="1" s="1"/>
  <c r="E100" i="1"/>
  <c r="Y64" i="1"/>
  <c r="I102" i="1"/>
  <c r="I100" i="1" s="1"/>
  <c r="I104" i="1"/>
  <c r="K170" i="1"/>
  <c r="M170" i="1" s="1"/>
  <c r="E161" i="1"/>
  <c r="G161" i="1"/>
  <c r="I162" i="1"/>
  <c r="K99" i="1"/>
  <c r="M99" i="1" s="1"/>
  <c r="O99" i="1" s="1"/>
  <c r="I119" i="1" l="1"/>
  <c r="I117" i="1" s="1"/>
  <c r="I114" i="1" s="1"/>
  <c r="G114" i="1"/>
  <c r="O159" i="1"/>
  <c r="M158" i="1"/>
  <c r="K71" i="1"/>
  <c r="I103" i="1"/>
  <c r="K104" i="1"/>
  <c r="K102" i="1"/>
  <c r="K100" i="1" s="1"/>
  <c r="Q99" i="1"/>
  <c r="O170" i="1"/>
  <c r="K116" i="1"/>
  <c r="K162" i="1"/>
  <c r="I161" i="1"/>
  <c r="K119" i="1"/>
  <c r="K117" i="1" s="1"/>
  <c r="E107" i="1"/>
  <c r="G107" i="1" s="1"/>
  <c r="D106" i="1"/>
  <c r="F106" i="1"/>
  <c r="H106" i="1"/>
  <c r="J106" i="1"/>
  <c r="L106" i="1"/>
  <c r="N106" i="1"/>
  <c r="P106" i="1"/>
  <c r="R106" i="1"/>
  <c r="T106" i="1"/>
  <c r="V106" i="1"/>
  <c r="X106" i="1"/>
  <c r="C106" i="1"/>
  <c r="L39" i="1"/>
  <c r="E40" i="1"/>
  <c r="X39" i="1"/>
  <c r="V39" i="1"/>
  <c r="T39" i="1"/>
  <c r="R39" i="1"/>
  <c r="P39" i="1"/>
  <c r="N39" i="1"/>
  <c r="J39" i="1"/>
  <c r="H39" i="1"/>
  <c r="F39" i="1"/>
  <c r="D39" i="1"/>
  <c r="C39" i="1"/>
  <c r="K114" i="1" l="1"/>
  <c r="M71" i="1"/>
  <c r="O158" i="1"/>
  <c r="Q159" i="1"/>
  <c r="K103" i="1"/>
  <c r="M104" i="1"/>
  <c r="M102" i="1"/>
  <c r="M100" i="1" s="1"/>
  <c r="S99" i="1"/>
  <c r="Q170" i="1"/>
  <c r="M116" i="1"/>
  <c r="K161" i="1"/>
  <c r="M162" i="1"/>
  <c r="M119" i="1"/>
  <c r="M117" i="1" s="1"/>
  <c r="I107" i="1"/>
  <c r="G40" i="1"/>
  <c r="E39" i="1"/>
  <c r="J92" i="1"/>
  <c r="J91" i="1"/>
  <c r="J153" i="1"/>
  <c r="J23" i="1"/>
  <c r="E72" i="1"/>
  <c r="M114" i="1" l="1"/>
  <c r="O71" i="1"/>
  <c r="G72" i="1"/>
  <c r="E70" i="1"/>
  <c r="S159" i="1"/>
  <c r="Q158" i="1"/>
  <c r="M103" i="1"/>
  <c r="O104" i="1"/>
  <c r="O102" i="1"/>
  <c r="O100" i="1" s="1"/>
  <c r="U99" i="1"/>
  <c r="S170" i="1"/>
  <c r="O116" i="1"/>
  <c r="O162" i="1"/>
  <c r="M161" i="1"/>
  <c r="O119" i="1"/>
  <c r="O117" i="1" s="1"/>
  <c r="K107" i="1"/>
  <c r="I40" i="1"/>
  <c r="G39" i="1"/>
  <c r="J5" i="1"/>
  <c r="E188" i="1"/>
  <c r="D187" i="1"/>
  <c r="F187" i="1"/>
  <c r="H187" i="1"/>
  <c r="J187" i="1"/>
  <c r="L187" i="1"/>
  <c r="N187" i="1"/>
  <c r="P187" i="1"/>
  <c r="R187" i="1"/>
  <c r="T187" i="1"/>
  <c r="V187" i="1"/>
  <c r="X187" i="1"/>
  <c r="C187" i="1"/>
  <c r="E189" i="1"/>
  <c r="G189" i="1" s="1"/>
  <c r="I189" i="1" s="1"/>
  <c r="K189" i="1" s="1"/>
  <c r="M189" i="1" s="1"/>
  <c r="O189" i="1" s="1"/>
  <c r="Q189" i="1" s="1"/>
  <c r="S189" i="1" s="1"/>
  <c r="U189" i="1" s="1"/>
  <c r="W189" i="1" s="1"/>
  <c r="Y189" i="1" s="1"/>
  <c r="J12" i="1"/>
  <c r="O114" i="1" l="1"/>
  <c r="S158" i="1"/>
  <c r="U159" i="1"/>
  <c r="I72" i="1"/>
  <c r="G70" i="1"/>
  <c r="Q71" i="1"/>
  <c r="O103" i="1"/>
  <c r="Q104" i="1"/>
  <c r="Q102" i="1"/>
  <c r="Q100" i="1" s="1"/>
  <c r="W99" i="1"/>
  <c r="U170" i="1"/>
  <c r="Q116" i="1"/>
  <c r="O161" i="1"/>
  <c r="Q162" i="1"/>
  <c r="Q119" i="1"/>
  <c r="Q117" i="1" s="1"/>
  <c r="E187" i="1"/>
  <c r="M107" i="1"/>
  <c r="G188" i="1"/>
  <c r="K40" i="1"/>
  <c r="I39" i="1"/>
  <c r="J151" i="1"/>
  <c r="J148" i="1" s="1"/>
  <c r="J145" i="1" s="1"/>
  <c r="J139" i="1"/>
  <c r="E151" i="1"/>
  <c r="G151" i="1" s="1"/>
  <c r="I151" i="1" s="1"/>
  <c r="K151" i="1" s="1"/>
  <c r="M151" i="1" s="1"/>
  <c r="O151" i="1" s="1"/>
  <c r="Q151" i="1" s="1"/>
  <c r="S151" i="1" s="1"/>
  <c r="U151" i="1" s="1"/>
  <c r="W151" i="1" s="1"/>
  <c r="Y151" i="1" s="1"/>
  <c r="E108" i="1"/>
  <c r="E150" i="1"/>
  <c r="E153" i="1"/>
  <c r="G153" i="1" s="1"/>
  <c r="J179" i="1"/>
  <c r="D56" i="1"/>
  <c r="F56" i="1"/>
  <c r="H56" i="1"/>
  <c r="J56" i="1"/>
  <c r="L56" i="1"/>
  <c r="N56" i="1"/>
  <c r="P56" i="1"/>
  <c r="R56" i="1"/>
  <c r="T56" i="1"/>
  <c r="V56" i="1"/>
  <c r="X56" i="1"/>
  <c r="C56" i="1"/>
  <c r="E57" i="1"/>
  <c r="G57" i="1" s="1"/>
  <c r="I57" i="1" s="1"/>
  <c r="K57" i="1" s="1"/>
  <c r="M57" i="1" s="1"/>
  <c r="O57" i="1" s="1"/>
  <c r="Q57" i="1" s="1"/>
  <c r="S57" i="1" s="1"/>
  <c r="U57" i="1" s="1"/>
  <c r="W57" i="1" s="1"/>
  <c r="Y57" i="1" s="1"/>
  <c r="Y56" i="1" s="1"/>
  <c r="E63" i="1"/>
  <c r="G63" i="1" s="1"/>
  <c r="I63" i="1" s="1"/>
  <c r="J63" i="1"/>
  <c r="J58" i="1" s="1"/>
  <c r="J34" i="1"/>
  <c r="K72" i="1" l="1"/>
  <c r="I70" i="1"/>
  <c r="S71" i="1"/>
  <c r="W159" i="1"/>
  <c r="U158" i="1"/>
  <c r="G150" i="1"/>
  <c r="Q114" i="1"/>
  <c r="Q103" i="1"/>
  <c r="S104" i="1"/>
  <c r="S102" i="1"/>
  <c r="S100" i="1" s="1"/>
  <c r="Y99" i="1"/>
  <c r="W170" i="1"/>
  <c r="S116" i="1"/>
  <c r="S162" i="1"/>
  <c r="Q161" i="1"/>
  <c r="S119" i="1"/>
  <c r="S117" i="1" s="1"/>
  <c r="G108" i="1"/>
  <c r="G106" i="1" s="1"/>
  <c r="E106" i="1"/>
  <c r="O107" i="1"/>
  <c r="G187" i="1"/>
  <c r="I188" i="1"/>
  <c r="M40" i="1"/>
  <c r="K39" i="1"/>
  <c r="K63" i="1"/>
  <c r="M63" i="1" s="1"/>
  <c r="O63" i="1" s="1"/>
  <c r="Q63" i="1" s="1"/>
  <c r="S63" i="1" s="1"/>
  <c r="U63" i="1" s="1"/>
  <c r="W63" i="1" s="1"/>
  <c r="Y63" i="1" s="1"/>
  <c r="E56" i="1"/>
  <c r="W56" i="1"/>
  <c r="U56" i="1"/>
  <c r="S56" i="1"/>
  <c r="Q56" i="1"/>
  <c r="M56" i="1"/>
  <c r="K56" i="1"/>
  <c r="I56" i="1"/>
  <c r="G56" i="1"/>
  <c r="O56" i="1"/>
  <c r="S114" i="1" l="1"/>
  <c r="I108" i="1"/>
  <c r="I106" i="1" s="1"/>
  <c r="U71" i="1"/>
  <c r="M72" i="1"/>
  <c r="K70" i="1"/>
  <c r="Y159" i="1"/>
  <c r="Y158" i="1" s="1"/>
  <c r="W158" i="1"/>
  <c r="I150" i="1"/>
  <c r="S103" i="1"/>
  <c r="U104" i="1"/>
  <c r="U102" i="1"/>
  <c r="U100" i="1" s="1"/>
  <c r="U116" i="1"/>
  <c r="S161" i="1"/>
  <c r="U162" i="1"/>
  <c r="U119" i="1"/>
  <c r="U117" i="1" s="1"/>
  <c r="K188" i="1"/>
  <c r="I187" i="1"/>
  <c r="Q107" i="1"/>
  <c r="O40" i="1"/>
  <c r="M39" i="1"/>
  <c r="J35" i="1"/>
  <c r="J36" i="1"/>
  <c r="J37" i="1"/>
  <c r="J38" i="1"/>
  <c r="K108" i="1" l="1"/>
  <c r="K106" i="1" s="1"/>
  <c r="U114" i="1"/>
  <c r="O72" i="1"/>
  <c r="M70" i="1"/>
  <c r="W71" i="1"/>
  <c r="K150" i="1"/>
  <c r="U103" i="1"/>
  <c r="W104" i="1"/>
  <c r="W102" i="1"/>
  <c r="W100" i="1" s="1"/>
  <c r="W116" i="1"/>
  <c r="W162" i="1"/>
  <c r="U161" i="1"/>
  <c r="W119" i="1"/>
  <c r="W117" i="1" s="1"/>
  <c r="S107" i="1"/>
  <c r="M188" i="1"/>
  <c r="K187" i="1"/>
  <c r="Q40" i="1"/>
  <c r="O39" i="1"/>
  <c r="M108" i="1"/>
  <c r="M106" i="1" s="1"/>
  <c r="J24" i="1"/>
  <c r="J6" i="1"/>
  <c r="J27" i="1"/>
  <c r="J13" i="1"/>
  <c r="W114" i="1" l="1"/>
  <c r="Y71" i="1"/>
  <c r="Q72" i="1"/>
  <c r="O70" i="1"/>
  <c r="M150" i="1"/>
  <c r="W103" i="1"/>
  <c r="Y104" i="1"/>
  <c r="Y103" i="1" s="1"/>
  <c r="Y102" i="1"/>
  <c r="Y100" i="1" s="1"/>
  <c r="Y116" i="1"/>
  <c r="W161" i="1"/>
  <c r="Y162" i="1"/>
  <c r="Y161" i="1" s="1"/>
  <c r="Y119" i="1"/>
  <c r="Y117" i="1" s="1"/>
  <c r="O188" i="1"/>
  <c r="M187" i="1"/>
  <c r="U107" i="1"/>
  <c r="S40" i="1"/>
  <c r="Q39" i="1"/>
  <c r="O108" i="1"/>
  <c r="O106" i="1" s="1"/>
  <c r="H168" i="1"/>
  <c r="H153" i="1"/>
  <c r="H148" i="1" s="1"/>
  <c r="H145" i="1" s="1"/>
  <c r="Y114" i="1" l="1"/>
  <c r="S72" i="1"/>
  <c r="Q70" i="1"/>
  <c r="O150" i="1"/>
  <c r="W107" i="1"/>
  <c r="Q188" i="1"/>
  <c r="O187" i="1"/>
  <c r="U40" i="1"/>
  <c r="S39" i="1"/>
  <c r="Q108" i="1"/>
  <c r="Q106" i="1" s="1"/>
  <c r="H49" i="1"/>
  <c r="D191" i="1"/>
  <c r="F191" i="1"/>
  <c r="H191" i="1"/>
  <c r="J191" i="1"/>
  <c r="L191" i="1"/>
  <c r="N191" i="1"/>
  <c r="P191" i="1"/>
  <c r="R191" i="1"/>
  <c r="T191" i="1"/>
  <c r="V191" i="1"/>
  <c r="X191" i="1"/>
  <c r="C191" i="1"/>
  <c r="E196" i="1"/>
  <c r="G196" i="1" s="1"/>
  <c r="I196" i="1" s="1"/>
  <c r="K196" i="1" s="1"/>
  <c r="M196" i="1" s="1"/>
  <c r="O196" i="1" s="1"/>
  <c r="Q196" i="1" s="1"/>
  <c r="S196" i="1" s="1"/>
  <c r="U196" i="1" s="1"/>
  <c r="W196" i="1" s="1"/>
  <c r="Y196" i="1" s="1"/>
  <c r="E198" i="1"/>
  <c r="G198" i="1" s="1"/>
  <c r="I198" i="1" s="1"/>
  <c r="K198" i="1" s="1"/>
  <c r="M198" i="1" s="1"/>
  <c r="O198" i="1" s="1"/>
  <c r="Q198" i="1" s="1"/>
  <c r="S198" i="1" s="1"/>
  <c r="U198" i="1" s="1"/>
  <c r="W198" i="1" s="1"/>
  <c r="Y198" i="1" s="1"/>
  <c r="E195" i="1"/>
  <c r="G195" i="1" s="1"/>
  <c r="I195" i="1" s="1"/>
  <c r="K195" i="1" s="1"/>
  <c r="M195" i="1" s="1"/>
  <c r="O195" i="1" s="1"/>
  <c r="Q195" i="1" s="1"/>
  <c r="S195" i="1" s="1"/>
  <c r="U195" i="1" s="1"/>
  <c r="W195" i="1" s="1"/>
  <c r="Y195" i="1" s="1"/>
  <c r="U72" i="1" l="1"/>
  <c r="S70" i="1"/>
  <c r="Q150" i="1"/>
  <c r="Y107" i="1"/>
  <c r="S188" i="1"/>
  <c r="Q187" i="1"/>
  <c r="W40" i="1"/>
  <c r="U39" i="1"/>
  <c r="S108" i="1"/>
  <c r="S106" i="1" s="1"/>
  <c r="H23" i="1"/>
  <c r="E142" i="1"/>
  <c r="H5" i="1"/>
  <c r="H24" i="1"/>
  <c r="H133" i="1"/>
  <c r="J47" i="1"/>
  <c r="L47" i="1"/>
  <c r="N47" i="1"/>
  <c r="P47" i="1"/>
  <c r="R47" i="1"/>
  <c r="T47" i="1"/>
  <c r="V47" i="1"/>
  <c r="X47" i="1"/>
  <c r="C47" i="1"/>
  <c r="E50" i="1"/>
  <c r="G50" i="1" s="1"/>
  <c r="I50" i="1" s="1"/>
  <c r="K50" i="1" s="1"/>
  <c r="M50" i="1" s="1"/>
  <c r="O50" i="1" s="1"/>
  <c r="Q50" i="1" s="1"/>
  <c r="S50" i="1" s="1"/>
  <c r="U50" i="1" s="1"/>
  <c r="W50" i="1" s="1"/>
  <c r="Y50" i="1" s="1"/>
  <c r="G142" i="1" l="1"/>
  <c r="E141" i="1"/>
  <c r="W72" i="1"/>
  <c r="U70" i="1"/>
  <c r="S150" i="1"/>
  <c r="U188" i="1"/>
  <c r="S187" i="1"/>
  <c r="Y40" i="1"/>
  <c r="Y39" i="1" s="1"/>
  <c r="W39" i="1"/>
  <c r="U108" i="1"/>
  <c r="U106" i="1" s="1"/>
  <c r="E95" i="1"/>
  <c r="E98" i="1"/>
  <c r="G98" i="1" s="1"/>
  <c r="E97" i="1"/>
  <c r="H91" i="1"/>
  <c r="H12" i="1"/>
  <c r="I142" i="1" l="1"/>
  <c r="G141" i="1"/>
  <c r="G97" i="1"/>
  <c r="E96" i="1"/>
  <c r="G95" i="1"/>
  <c r="I95" i="1" s="1"/>
  <c r="E94" i="1"/>
  <c r="Y72" i="1"/>
  <c r="Y70" i="1" s="1"/>
  <c r="W70" i="1"/>
  <c r="U150" i="1"/>
  <c r="W188" i="1"/>
  <c r="U187" i="1"/>
  <c r="W108" i="1"/>
  <c r="W106" i="1" s="1"/>
  <c r="I98" i="1"/>
  <c r="K98" i="1" s="1"/>
  <c r="M98" i="1" s="1"/>
  <c r="O98" i="1" s="1"/>
  <c r="Q98" i="1" s="1"/>
  <c r="S98" i="1" s="1"/>
  <c r="U98" i="1" s="1"/>
  <c r="W98" i="1" s="1"/>
  <c r="Y98" i="1" s="1"/>
  <c r="H139" i="1"/>
  <c r="H34" i="1"/>
  <c r="K142" i="1" l="1"/>
  <c r="I141" i="1"/>
  <c r="I97" i="1"/>
  <c r="G96" i="1"/>
  <c r="G94" i="1" s="1"/>
  <c r="W150" i="1"/>
  <c r="Y188" i="1"/>
  <c r="Y187" i="1" s="1"/>
  <c r="W187" i="1"/>
  <c r="Y108" i="1"/>
  <c r="Y106" i="1" s="1"/>
  <c r="K95" i="1"/>
  <c r="E60" i="1"/>
  <c r="G60" i="1" s="1"/>
  <c r="I60" i="1" s="1"/>
  <c r="K60" i="1" s="1"/>
  <c r="M60" i="1" s="1"/>
  <c r="O60" i="1" s="1"/>
  <c r="Q60" i="1" s="1"/>
  <c r="S60" i="1" s="1"/>
  <c r="U60" i="1" s="1"/>
  <c r="W60" i="1" s="1"/>
  <c r="Y60" i="1" s="1"/>
  <c r="E61" i="1"/>
  <c r="G61" i="1" s="1"/>
  <c r="I61" i="1" s="1"/>
  <c r="K61" i="1" s="1"/>
  <c r="M61" i="1" s="1"/>
  <c r="O61" i="1" s="1"/>
  <c r="Q61" i="1" s="1"/>
  <c r="S61" i="1" s="1"/>
  <c r="U61" i="1" s="1"/>
  <c r="W61" i="1" s="1"/>
  <c r="Y61" i="1" s="1"/>
  <c r="E68" i="1"/>
  <c r="G68" i="1" s="1"/>
  <c r="E67" i="1"/>
  <c r="G67" i="1" s="1"/>
  <c r="I67" i="1" s="1"/>
  <c r="X66" i="1"/>
  <c r="V66" i="1"/>
  <c r="T66" i="1"/>
  <c r="R66" i="1"/>
  <c r="P66" i="1"/>
  <c r="N66" i="1"/>
  <c r="L66" i="1"/>
  <c r="J66" i="1"/>
  <c r="H66" i="1"/>
  <c r="F66" i="1"/>
  <c r="D66" i="1"/>
  <c r="C66" i="1"/>
  <c r="H6" i="1"/>
  <c r="H52" i="1"/>
  <c r="H47" i="1" s="1"/>
  <c r="H13" i="1"/>
  <c r="M142" i="1" l="1"/>
  <c r="K141" i="1"/>
  <c r="K97" i="1"/>
  <c r="I96" i="1"/>
  <c r="I94" i="1" s="1"/>
  <c r="Y150" i="1"/>
  <c r="E66" i="1"/>
  <c r="M95" i="1"/>
  <c r="I68" i="1"/>
  <c r="K68" i="1" s="1"/>
  <c r="M68" i="1" s="1"/>
  <c r="O68" i="1" s="1"/>
  <c r="Q68" i="1" s="1"/>
  <c r="S68" i="1" s="1"/>
  <c r="U68" i="1" s="1"/>
  <c r="W68" i="1" s="1"/>
  <c r="Y68" i="1" s="1"/>
  <c r="K67" i="1"/>
  <c r="G66" i="1"/>
  <c r="E127" i="1"/>
  <c r="G127" i="1" s="1"/>
  <c r="I127" i="1" s="1"/>
  <c r="K127" i="1" s="1"/>
  <c r="M127" i="1" s="1"/>
  <c r="O127" i="1" s="1"/>
  <c r="Q127" i="1" s="1"/>
  <c r="S127" i="1" s="1"/>
  <c r="U127" i="1" s="1"/>
  <c r="W127" i="1" s="1"/>
  <c r="Y127" i="1" s="1"/>
  <c r="E126" i="1"/>
  <c r="E123" i="1"/>
  <c r="E179" i="1"/>
  <c r="G179" i="1" s="1"/>
  <c r="I179" i="1" s="1"/>
  <c r="K179" i="1" s="1"/>
  <c r="M179" i="1" s="1"/>
  <c r="O179" i="1" s="1"/>
  <c r="Q179" i="1" s="1"/>
  <c r="S179" i="1" s="1"/>
  <c r="U179" i="1" s="1"/>
  <c r="W179" i="1" s="1"/>
  <c r="Y179" i="1" s="1"/>
  <c r="Y178" i="1" s="1"/>
  <c r="X178" i="1"/>
  <c r="V178" i="1"/>
  <c r="T178" i="1"/>
  <c r="R178" i="1"/>
  <c r="P178" i="1"/>
  <c r="N178" i="1"/>
  <c r="L178" i="1"/>
  <c r="J178" i="1"/>
  <c r="H178" i="1"/>
  <c r="F178" i="1"/>
  <c r="D178" i="1"/>
  <c r="C178" i="1"/>
  <c r="C132" i="1"/>
  <c r="E133" i="1"/>
  <c r="G133" i="1" s="1"/>
  <c r="I133" i="1" s="1"/>
  <c r="X132" i="1"/>
  <c r="V132" i="1"/>
  <c r="T132" i="1"/>
  <c r="R132" i="1"/>
  <c r="P132" i="1"/>
  <c r="N132" i="1"/>
  <c r="L132" i="1"/>
  <c r="J132" i="1"/>
  <c r="H132" i="1"/>
  <c r="F132" i="1"/>
  <c r="D132" i="1"/>
  <c r="O142" i="1" l="1"/>
  <c r="M141" i="1"/>
  <c r="G123" i="1"/>
  <c r="G121" i="1" s="1"/>
  <c r="E121" i="1"/>
  <c r="K96" i="1"/>
  <c r="K94" i="1" s="1"/>
  <c r="M97" i="1"/>
  <c r="G126" i="1"/>
  <c r="E125" i="1"/>
  <c r="O95" i="1"/>
  <c r="I153" i="1"/>
  <c r="M67" i="1"/>
  <c r="K66" i="1"/>
  <c r="I66" i="1"/>
  <c r="E178" i="1"/>
  <c r="G178" i="1" s="1"/>
  <c r="I178" i="1" s="1"/>
  <c r="K178" i="1" s="1"/>
  <c r="E132" i="1"/>
  <c r="G132" i="1"/>
  <c r="K133" i="1"/>
  <c r="I132" i="1"/>
  <c r="H92" i="1"/>
  <c r="Q142" i="1" l="1"/>
  <c r="O141" i="1"/>
  <c r="I123" i="1"/>
  <c r="I121" i="1" s="1"/>
  <c r="I126" i="1"/>
  <c r="G125" i="1"/>
  <c r="O97" i="1"/>
  <c r="M96" i="1"/>
  <c r="M94" i="1" s="1"/>
  <c r="K153" i="1"/>
  <c r="M178" i="1"/>
  <c r="Q95" i="1"/>
  <c r="O67" i="1"/>
  <c r="M66" i="1"/>
  <c r="K123" i="1"/>
  <c r="K121" i="1" s="1"/>
  <c r="K132" i="1"/>
  <c r="M133" i="1"/>
  <c r="F91" i="1"/>
  <c r="F23" i="1"/>
  <c r="F12" i="1"/>
  <c r="F5" i="1"/>
  <c r="E165" i="1"/>
  <c r="G165" i="1" s="1"/>
  <c r="I165" i="1" s="1"/>
  <c r="K165" i="1" s="1"/>
  <c r="M165" i="1" s="1"/>
  <c r="O165" i="1" s="1"/>
  <c r="Q165" i="1" s="1"/>
  <c r="S165" i="1" s="1"/>
  <c r="U165" i="1" s="1"/>
  <c r="W165" i="1" s="1"/>
  <c r="Y165" i="1" s="1"/>
  <c r="Y164" i="1" s="1"/>
  <c r="X164" i="1"/>
  <c r="V164" i="1"/>
  <c r="T164" i="1"/>
  <c r="R164" i="1"/>
  <c r="P164" i="1"/>
  <c r="N164" i="1"/>
  <c r="L164" i="1"/>
  <c r="J164" i="1"/>
  <c r="H164" i="1"/>
  <c r="F164" i="1"/>
  <c r="D164" i="1"/>
  <c r="C164" i="1"/>
  <c r="E136" i="1"/>
  <c r="G136" i="1" s="1"/>
  <c r="I136" i="1" s="1"/>
  <c r="K136" i="1" s="1"/>
  <c r="M136" i="1" s="1"/>
  <c r="O136" i="1" s="1"/>
  <c r="Q136" i="1" s="1"/>
  <c r="S136" i="1" s="1"/>
  <c r="U136" i="1" s="1"/>
  <c r="W136" i="1" s="1"/>
  <c r="Y136" i="1" s="1"/>
  <c r="Y135" i="1" s="1"/>
  <c r="X135" i="1"/>
  <c r="V135" i="1"/>
  <c r="T135" i="1"/>
  <c r="R135" i="1"/>
  <c r="P135" i="1"/>
  <c r="N135" i="1"/>
  <c r="L135" i="1"/>
  <c r="J135" i="1"/>
  <c r="H135" i="1"/>
  <c r="F135" i="1"/>
  <c r="D135" i="1"/>
  <c r="C135" i="1"/>
  <c r="S142" i="1" l="1"/>
  <c r="Q141" i="1"/>
  <c r="I125" i="1"/>
  <c r="K126" i="1"/>
  <c r="Q97" i="1"/>
  <c r="O96" i="1"/>
  <c r="O94" i="1" s="1"/>
  <c r="M153" i="1"/>
  <c r="O178" i="1"/>
  <c r="S95" i="1"/>
  <c r="Q67" i="1"/>
  <c r="O66" i="1"/>
  <c r="M123" i="1"/>
  <c r="M121" i="1" s="1"/>
  <c r="E135" i="1"/>
  <c r="G135" i="1" s="1"/>
  <c r="I135" i="1" s="1"/>
  <c r="K135" i="1" s="1"/>
  <c r="M135" i="1" s="1"/>
  <c r="O135" i="1" s="1"/>
  <c r="Q135" i="1" s="1"/>
  <c r="S135" i="1" s="1"/>
  <c r="U135" i="1" s="1"/>
  <c r="W135" i="1" s="1"/>
  <c r="O133" i="1"/>
  <c r="M132" i="1"/>
  <c r="E164" i="1"/>
  <c r="G164" i="1" s="1"/>
  <c r="I164" i="1" s="1"/>
  <c r="K164" i="1" s="1"/>
  <c r="M164" i="1" s="1"/>
  <c r="O164" i="1" s="1"/>
  <c r="Q164" i="1" s="1"/>
  <c r="S164" i="1" s="1"/>
  <c r="U164" i="1" s="1"/>
  <c r="W164" i="1" s="1"/>
  <c r="F139" i="1"/>
  <c r="U142" i="1" l="1"/>
  <c r="S141" i="1"/>
  <c r="K125" i="1"/>
  <c r="M126" i="1"/>
  <c r="S97" i="1"/>
  <c r="Q96" i="1"/>
  <c r="Q94" i="1" s="1"/>
  <c r="O153" i="1"/>
  <c r="Q178" i="1"/>
  <c r="U95" i="1"/>
  <c r="S67" i="1"/>
  <c r="Q66" i="1"/>
  <c r="O123" i="1"/>
  <c r="O121" i="1" s="1"/>
  <c r="O132" i="1"/>
  <c r="Q133" i="1"/>
  <c r="E130" i="1"/>
  <c r="G130" i="1" s="1"/>
  <c r="I130" i="1" s="1"/>
  <c r="K130" i="1" s="1"/>
  <c r="M130" i="1" s="1"/>
  <c r="O130" i="1" s="1"/>
  <c r="Q130" i="1" s="1"/>
  <c r="S130" i="1" s="1"/>
  <c r="U130" i="1" s="1"/>
  <c r="W130" i="1" s="1"/>
  <c r="Y130" i="1" s="1"/>
  <c r="W142" i="1" l="1"/>
  <c r="U141" i="1"/>
  <c r="M125" i="1"/>
  <c r="O126" i="1"/>
  <c r="U97" i="1"/>
  <c r="S96" i="1"/>
  <c r="S94" i="1" s="1"/>
  <c r="Q153" i="1"/>
  <c r="S178" i="1"/>
  <c r="W95" i="1"/>
  <c r="U67" i="1"/>
  <c r="S66" i="1"/>
  <c r="Q123" i="1"/>
  <c r="Q121" i="1" s="1"/>
  <c r="S133" i="1"/>
  <c r="Q132" i="1"/>
  <c r="F32" i="1"/>
  <c r="E176" i="1"/>
  <c r="G176" i="1" s="1"/>
  <c r="I176" i="1" s="1"/>
  <c r="K176" i="1" s="1"/>
  <c r="M176" i="1" s="1"/>
  <c r="O176" i="1" s="1"/>
  <c r="Q176" i="1" s="1"/>
  <c r="S176" i="1" s="1"/>
  <c r="U176" i="1" s="1"/>
  <c r="W176" i="1" s="1"/>
  <c r="Y176" i="1" s="1"/>
  <c r="Y175" i="1" s="1"/>
  <c r="X175" i="1"/>
  <c r="V175" i="1"/>
  <c r="T175" i="1"/>
  <c r="R175" i="1"/>
  <c r="P175" i="1"/>
  <c r="N175" i="1"/>
  <c r="L175" i="1"/>
  <c r="J175" i="1"/>
  <c r="H175" i="1"/>
  <c r="F175" i="1"/>
  <c r="D175" i="1"/>
  <c r="C175" i="1"/>
  <c r="Y142" i="1" l="1"/>
  <c r="Y141" i="1" s="1"/>
  <c r="W141" i="1"/>
  <c r="O125" i="1"/>
  <c r="Q126" i="1"/>
  <c r="W97" i="1"/>
  <c r="U96" i="1"/>
  <c r="U94" i="1" s="1"/>
  <c r="S153" i="1"/>
  <c r="U178" i="1"/>
  <c r="Y95" i="1"/>
  <c r="E175" i="1"/>
  <c r="G175" i="1" s="1"/>
  <c r="I175" i="1" s="1"/>
  <c r="K175" i="1" s="1"/>
  <c r="M175" i="1" s="1"/>
  <c r="O175" i="1" s="1"/>
  <c r="Q175" i="1" s="1"/>
  <c r="S175" i="1" s="1"/>
  <c r="U175" i="1" s="1"/>
  <c r="W175" i="1" s="1"/>
  <c r="W67" i="1"/>
  <c r="U66" i="1"/>
  <c r="S123" i="1"/>
  <c r="S121" i="1" s="1"/>
  <c r="S132" i="1"/>
  <c r="U133" i="1"/>
  <c r="F92" i="1"/>
  <c r="Q125" i="1" l="1"/>
  <c r="S126" i="1"/>
  <c r="Y97" i="1"/>
  <c r="Y96" i="1" s="1"/>
  <c r="Y94" i="1" s="1"/>
  <c r="W96" i="1"/>
  <c r="W94" i="1" s="1"/>
  <c r="U153" i="1"/>
  <c r="W153" i="1" s="1"/>
  <c r="W178" i="1"/>
  <c r="Y67" i="1"/>
  <c r="Y66" i="1" s="1"/>
  <c r="W66" i="1"/>
  <c r="U123" i="1"/>
  <c r="U121" i="1" s="1"/>
  <c r="W133" i="1"/>
  <c r="U132" i="1"/>
  <c r="F24" i="1"/>
  <c r="F6" i="1"/>
  <c r="D26" i="1"/>
  <c r="F26" i="1"/>
  <c r="H26" i="1"/>
  <c r="J26" i="1"/>
  <c r="L26" i="1"/>
  <c r="N26" i="1"/>
  <c r="P26" i="1"/>
  <c r="R26" i="1"/>
  <c r="T26" i="1"/>
  <c r="V26" i="1"/>
  <c r="X26" i="1"/>
  <c r="C26" i="1"/>
  <c r="F13" i="1"/>
  <c r="E55" i="1"/>
  <c r="G55" i="1" s="1"/>
  <c r="I55" i="1" s="1"/>
  <c r="K55" i="1" s="1"/>
  <c r="M55" i="1" s="1"/>
  <c r="O55" i="1" s="1"/>
  <c r="Q55" i="1" s="1"/>
  <c r="S55" i="1" s="1"/>
  <c r="U55" i="1" s="1"/>
  <c r="W55" i="1" s="1"/>
  <c r="Y55" i="1" s="1"/>
  <c r="E168" i="1"/>
  <c r="G168" i="1" s="1"/>
  <c r="I168" i="1" s="1"/>
  <c r="K168" i="1" s="1"/>
  <c r="M168" i="1" s="1"/>
  <c r="O168" i="1" s="1"/>
  <c r="Q168" i="1" s="1"/>
  <c r="S168" i="1" s="1"/>
  <c r="U168" i="1" s="1"/>
  <c r="W168" i="1" s="1"/>
  <c r="Y168" i="1" s="1"/>
  <c r="Y167" i="1" s="1"/>
  <c r="X167" i="1"/>
  <c r="V167" i="1"/>
  <c r="T167" i="1"/>
  <c r="R167" i="1"/>
  <c r="P167" i="1"/>
  <c r="N167" i="1"/>
  <c r="L167" i="1"/>
  <c r="J167" i="1"/>
  <c r="H167" i="1"/>
  <c r="F167" i="1"/>
  <c r="D167" i="1"/>
  <c r="C167" i="1"/>
  <c r="F52" i="1"/>
  <c r="F47" i="1" s="1"/>
  <c r="S125" i="1" l="1"/>
  <c r="U126" i="1"/>
  <c r="Y153" i="1"/>
  <c r="W123" i="1"/>
  <c r="W121" i="1" s="1"/>
  <c r="W132" i="1"/>
  <c r="Y133" i="1"/>
  <c r="Y132" i="1" s="1"/>
  <c r="E167" i="1"/>
  <c r="G167" i="1" s="1"/>
  <c r="I167" i="1" s="1"/>
  <c r="K167" i="1" s="1"/>
  <c r="M167" i="1" s="1"/>
  <c r="O167" i="1" s="1"/>
  <c r="Q167" i="1" s="1"/>
  <c r="S167" i="1" s="1"/>
  <c r="U167" i="1" s="1"/>
  <c r="W167" i="1" s="1"/>
  <c r="E52" i="1"/>
  <c r="G52" i="1" s="1"/>
  <c r="I52" i="1" s="1"/>
  <c r="K52" i="1" s="1"/>
  <c r="M52" i="1" s="1"/>
  <c r="O52" i="1" s="1"/>
  <c r="Q52" i="1" s="1"/>
  <c r="S52" i="1" s="1"/>
  <c r="U52" i="1" s="1"/>
  <c r="W52" i="1" s="1"/>
  <c r="Y52" i="1" s="1"/>
  <c r="E76" i="1"/>
  <c r="G76" i="1" s="1"/>
  <c r="I76" i="1" s="1"/>
  <c r="K76" i="1" s="1"/>
  <c r="M76" i="1" s="1"/>
  <c r="O76" i="1" s="1"/>
  <c r="Q76" i="1" s="1"/>
  <c r="S76" i="1" s="1"/>
  <c r="U76" i="1" s="1"/>
  <c r="W76" i="1" s="1"/>
  <c r="Y76" i="1" s="1"/>
  <c r="E75" i="1"/>
  <c r="G75" i="1" s="1"/>
  <c r="I75" i="1" s="1"/>
  <c r="K75" i="1" s="1"/>
  <c r="M75" i="1" s="1"/>
  <c r="O75" i="1" s="1"/>
  <c r="Q75" i="1" s="1"/>
  <c r="S75" i="1" s="1"/>
  <c r="U75" i="1" s="1"/>
  <c r="W75" i="1" s="1"/>
  <c r="Y75" i="1" s="1"/>
  <c r="D74" i="1"/>
  <c r="X74" i="1"/>
  <c r="V74" i="1"/>
  <c r="T74" i="1"/>
  <c r="R74" i="1"/>
  <c r="P74" i="1"/>
  <c r="N74" i="1"/>
  <c r="L74" i="1"/>
  <c r="J74" i="1"/>
  <c r="H74" i="1"/>
  <c r="F74" i="1"/>
  <c r="C74" i="1"/>
  <c r="E45" i="1"/>
  <c r="G45" i="1" s="1"/>
  <c r="I45" i="1" s="1"/>
  <c r="K45" i="1" s="1"/>
  <c r="M45" i="1" s="1"/>
  <c r="O45" i="1" s="1"/>
  <c r="Q45" i="1" s="1"/>
  <c r="S45" i="1" s="1"/>
  <c r="U45" i="1" s="1"/>
  <c r="W45" i="1" s="1"/>
  <c r="Y45" i="1" s="1"/>
  <c r="E111" i="1"/>
  <c r="G111" i="1" s="1"/>
  <c r="I111" i="1" s="1"/>
  <c r="K111" i="1" s="1"/>
  <c r="M111" i="1" s="1"/>
  <c r="O111" i="1" s="1"/>
  <c r="Q111" i="1" s="1"/>
  <c r="S111" i="1" s="1"/>
  <c r="U111" i="1" s="1"/>
  <c r="W111" i="1" s="1"/>
  <c r="Y111" i="1" s="1"/>
  <c r="F110" i="1"/>
  <c r="H110" i="1"/>
  <c r="J110" i="1"/>
  <c r="L110" i="1"/>
  <c r="N110" i="1"/>
  <c r="P110" i="1"/>
  <c r="R110" i="1"/>
  <c r="T110" i="1"/>
  <c r="V110" i="1"/>
  <c r="X110" i="1"/>
  <c r="D110" i="1"/>
  <c r="U125" i="1" l="1"/>
  <c r="W126" i="1"/>
  <c r="Y123" i="1"/>
  <c r="Y121" i="1" s="1"/>
  <c r="Y74" i="1"/>
  <c r="E74" i="1"/>
  <c r="G74" i="1" s="1"/>
  <c r="I74" i="1" s="1"/>
  <c r="K74" i="1" s="1"/>
  <c r="M74" i="1" s="1"/>
  <c r="O74" i="1" s="1"/>
  <c r="Q74" i="1" s="1"/>
  <c r="S74" i="1" s="1"/>
  <c r="U74" i="1" s="1"/>
  <c r="W74" i="1" s="1"/>
  <c r="F31" i="1"/>
  <c r="H31" i="1"/>
  <c r="J31" i="1"/>
  <c r="L31" i="1"/>
  <c r="N31" i="1"/>
  <c r="P31" i="1"/>
  <c r="R31" i="1"/>
  <c r="T31" i="1"/>
  <c r="V31" i="1"/>
  <c r="X31" i="1"/>
  <c r="C31" i="1"/>
  <c r="E34" i="1"/>
  <c r="G34" i="1" s="1"/>
  <c r="I34" i="1" s="1"/>
  <c r="K34" i="1" s="1"/>
  <c r="M34" i="1" s="1"/>
  <c r="O34" i="1" s="1"/>
  <c r="Q34" i="1" s="1"/>
  <c r="S34" i="1" s="1"/>
  <c r="U34" i="1" s="1"/>
  <c r="W34" i="1" s="1"/>
  <c r="Y34" i="1" s="1"/>
  <c r="E35" i="1"/>
  <c r="G35" i="1" s="1"/>
  <c r="I35" i="1" s="1"/>
  <c r="K35" i="1" s="1"/>
  <c r="M35" i="1" s="1"/>
  <c r="O35" i="1" s="1"/>
  <c r="Q35" i="1" s="1"/>
  <c r="S35" i="1" s="1"/>
  <c r="U35" i="1" s="1"/>
  <c r="W35" i="1" s="1"/>
  <c r="Y35" i="1" s="1"/>
  <c r="E36" i="1"/>
  <c r="G36" i="1" s="1"/>
  <c r="I36" i="1" s="1"/>
  <c r="K36" i="1" s="1"/>
  <c r="M36" i="1" s="1"/>
  <c r="O36" i="1" s="1"/>
  <c r="Q36" i="1" s="1"/>
  <c r="S36" i="1" s="1"/>
  <c r="U36" i="1" s="1"/>
  <c r="W36" i="1" s="1"/>
  <c r="Y36" i="1" s="1"/>
  <c r="E37" i="1"/>
  <c r="G37" i="1" s="1"/>
  <c r="I37" i="1" s="1"/>
  <c r="K37" i="1" s="1"/>
  <c r="M37" i="1" s="1"/>
  <c r="O37" i="1" s="1"/>
  <c r="Q37" i="1" s="1"/>
  <c r="S37" i="1" s="1"/>
  <c r="U37" i="1" s="1"/>
  <c r="W37" i="1" s="1"/>
  <c r="Y37" i="1" s="1"/>
  <c r="E38" i="1"/>
  <c r="G38" i="1" s="1"/>
  <c r="I38" i="1" s="1"/>
  <c r="K38" i="1" s="1"/>
  <c r="M38" i="1" s="1"/>
  <c r="O38" i="1" s="1"/>
  <c r="Q38" i="1" s="1"/>
  <c r="S38" i="1" s="1"/>
  <c r="U38" i="1" s="1"/>
  <c r="W38" i="1" s="1"/>
  <c r="Y38" i="1" s="1"/>
  <c r="E42" i="1"/>
  <c r="E43" i="1"/>
  <c r="G43" i="1" s="1"/>
  <c r="I43" i="1" s="1"/>
  <c r="K43" i="1" s="1"/>
  <c r="M43" i="1" s="1"/>
  <c r="O43" i="1" s="1"/>
  <c r="Q43" i="1" s="1"/>
  <c r="S43" i="1" s="1"/>
  <c r="U43" i="1" s="1"/>
  <c r="W43" i="1" s="1"/>
  <c r="Y43" i="1" s="1"/>
  <c r="E44" i="1"/>
  <c r="G44" i="1" s="1"/>
  <c r="I44" i="1" s="1"/>
  <c r="K44" i="1" s="1"/>
  <c r="M44" i="1" s="1"/>
  <c r="O44" i="1" s="1"/>
  <c r="Q44" i="1" s="1"/>
  <c r="S44" i="1" s="1"/>
  <c r="U44" i="1" s="1"/>
  <c r="W44" i="1" s="1"/>
  <c r="Y44" i="1" s="1"/>
  <c r="E51" i="1"/>
  <c r="G51" i="1" s="1"/>
  <c r="I51" i="1" s="1"/>
  <c r="K51" i="1" s="1"/>
  <c r="M51" i="1" s="1"/>
  <c r="O51" i="1" s="1"/>
  <c r="Q51" i="1" s="1"/>
  <c r="S51" i="1" s="1"/>
  <c r="U51" i="1" s="1"/>
  <c r="W51" i="1" s="1"/>
  <c r="Y51" i="1" s="1"/>
  <c r="E59" i="1"/>
  <c r="E58" i="1" s="1"/>
  <c r="D33" i="1"/>
  <c r="F33" i="1"/>
  <c r="H33" i="1"/>
  <c r="J33" i="1"/>
  <c r="L33" i="1"/>
  <c r="N33" i="1"/>
  <c r="P33" i="1"/>
  <c r="R33" i="1"/>
  <c r="T33" i="1"/>
  <c r="V33" i="1"/>
  <c r="X33" i="1"/>
  <c r="C33" i="1"/>
  <c r="E193" i="1"/>
  <c r="G193" i="1" s="1"/>
  <c r="I193" i="1" s="1"/>
  <c r="K193" i="1" s="1"/>
  <c r="M193" i="1" s="1"/>
  <c r="O193" i="1" s="1"/>
  <c r="Q193" i="1" s="1"/>
  <c r="S193" i="1" s="1"/>
  <c r="U193" i="1" s="1"/>
  <c r="W193" i="1" s="1"/>
  <c r="Y193" i="1" s="1"/>
  <c r="E194" i="1"/>
  <c r="G194" i="1" s="1"/>
  <c r="I194" i="1" s="1"/>
  <c r="K194" i="1" s="1"/>
  <c r="M194" i="1" s="1"/>
  <c r="O194" i="1" s="1"/>
  <c r="Q194" i="1" s="1"/>
  <c r="S194" i="1" s="1"/>
  <c r="U194" i="1" s="1"/>
  <c r="W194" i="1" s="1"/>
  <c r="Y194" i="1" s="1"/>
  <c r="D91" i="1"/>
  <c r="E91" i="1" s="1"/>
  <c r="G91" i="1" s="1"/>
  <c r="I91" i="1" s="1"/>
  <c r="K91" i="1" s="1"/>
  <c r="M91" i="1" s="1"/>
  <c r="O91" i="1" s="1"/>
  <c r="Q91" i="1" s="1"/>
  <c r="S91" i="1" s="1"/>
  <c r="U91" i="1" s="1"/>
  <c r="W91" i="1" s="1"/>
  <c r="Y91" i="1" s="1"/>
  <c r="E92" i="1"/>
  <c r="G92" i="1" s="1"/>
  <c r="I92" i="1" s="1"/>
  <c r="K92" i="1" s="1"/>
  <c r="M92" i="1" s="1"/>
  <c r="O92" i="1" s="1"/>
  <c r="Q92" i="1" s="1"/>
  <c r="S92" i="1" s="1"/>
  <c r="U92" i="1" s="1"/>
  <c r="W92" i="1" s="1"/>
  <c r="Y92" i="1" s="1"/>
  <c r="X90" i="1"/>
  <c r="V90" i="1"/>
  <c r="T90" i="1"/>
  <c r="R90" i="1"/>
  <c r="P90" i="1"/>
  <c r="N90" i="1"/>
  <c r="L90" i="1"/>
  <c r="J90" i="1"/>
  <c r="H90" i="1"/>
  <c r="F90" i="1"/>
  <c r="C90" i="1"/>
  <c r="D139" i="1"/>
  <c r="D138" i="1" s="1"/>
  <c r="E88" i="1"/>
  <c r="G88" i="1" s="1"/>
  <c r="I88" i="1" s="1"/>
  <c r="K88" i="1" s="1"/>
  <c r="M88" i="1" s="1"/>
  <c r="O88" i="1" s="1"/>
  <c r="Q88" i="1" s="1"/>
  <c r="S88" i="1" s="1"/>
  <c r="U88" i="1" s="1"/>
  <c r="W88" i="1" s="1"/>
  <c r="Y88" i="1" s="1"/>
  <c r="Y87" i="1" s="1"/>
  <c r="X87" i="1"/>
  <c r="V87" i="1"/>
  <c r="T87" i="1"/>
  <c r="R87" i="1"/>
  <c r="P87" i="1"/>
  <c r="N87" i="1"/>
  <c r="L87" i="1"/>
  <c r="J87" i="1"/>
  <c r="H87" i="1"/>
  <c r="F87" i="1"/>
  <c r="D87" i="1"/>
  <c r="C87" i="1"/>
  <c r="E192" i="1"/>
  <c r="E28" i="1"/>
  <c r="G28" i="1" s="1"/>
  <c r="I28" i="1" s="1"/>
  <c r="K28" i="1" s="1"/>
  <c r="M28" i="1" s="1"/>
  <c r="O28" i="1" s="1"/>
  <c r="Q28" i="1" s="1"/>
  <c r="S28" i="1" s="1"/>
  <c r="U28" i="1" s="1"/>
  <c r="W28" i="1" s="1"/>
  <c r="Y28" i="1" s="1"/>
  <c r="E27" i="1"/>
  <c r="G27" i="1" s="1"/>
  <c r="E79" i="1"/>
  <c r="G79" i="1" s="1"/>
  <c r="I79" i="1" s="1"/>
  <c r="K79" i="1" s="1"/>
  <c r="M79" i="1" s="1"/>
  <c r="O79" i="1" s="1"/>
  <c r="Q79" i="1" s="1"/>
  <c r="S79" i="1" s="1"/>
  <c r="U79" i="1" s="1"/>
  <c r="W79" i="1" s="1"/>
  <c r="Y79" i="1" s="1"/>
  <c r="Y78" i="1" s="1"/>
  <c r="X78" i="1"/>
  <c r="V78" i="1"/>
  <c r="T78" i="1"/>
  <c r="R78" i="1"/>
  <c r="P78" i="1"/>
  <c r="N78" i="1"/>
  <c r="L78" i="1"/>
  <c r="J78" i="1"/>
  <c r="H78" i="1"/>
  <c r="F78" i="1"/>
  <c r="D78" i="1"/>
  <c r="C78" i="1"/>
  <c r="D32" i="1"/>
  <c r="D31" i="1" s="1"/>
  <c r="D49" i="1"/>
  <c r="E49" i="1" s="1"/>
  <c r="G49" i="1" s="1"/>
  <c r="I49" i="1" s="1"/>
  <c r="K49" i="1" s="1"/>
  <c r="M49" i="1" s="1"/>
  <c r="O49" i="1" s="1"/>
  <c r="Q49" i="1" s="1"/>
  <c r="S49" i="1" s="1"/>
  <c r="U49" i="1" s="1"/>
  <c r="W49" i="1" s="1"/>
  <c r="Y49" i="1" s="1"/>
  <c r="C110" i="1"/>
  <c r="E112" i="1"/>
  <c r="D48" i="1"/>
  <c r="E173" i="1"/>
  <c r="G173" i="1" s="1"/>
  <c r="I173" i="1" s="1"/>
  <c r="K173" i="1" s="1"/>
  <c r="M173" i="1" s="1"/>
  <c r="X138" i="1"/>
  <c r="V138" i="1"/>
  <c r="T138" i="1"/>
  <c r="R138" i="1"/>
  <c r="P138" i="1"/>
  <c r="N138" i="1"/>
  <c r="L138" i="1"/>
  <c r="J138" i="1"/>
  <c r="H138" i="1"/>
  <c r="F138" i="1"/>
  <c r="C138" i="1"/>
  <c r="D47" i="1" l="1"/>
  <c r="W125" i="1"/>
  <c r="Y126" i="1"/>
  <c r="Y125" i="1" s="1"/>
  <c r="E41" i="1"/>
  <c r="O173" i="1"/>
  <c r="X30" i="1"/>
  <c r="T30" i="1"/>
  <c r="P30" i="1"/>
  <c r="L30" i="1"/>
  <c r="H30" i="1"/>
  <c r="D30" i="1"/>
  <c r="E191" i="1"/>
  <c r="C30" i="1"/>
  <c r="V30" i="1"/>
  <c r="R30" i="1"/>
  <c r="N30" i="1"/>
  <c r="J30" i="1"/>
  <c r="F30" i="1"/>
  <c r="G42" i="1"/>
  <c r="G41" i="1" s="1"/>
  <c r="E139" i="1"/>
  <c r="G139" i="1" s="1"/>
  <c r="I139" i="1" s="1"/>
  <c r="K139" i="1" s="1"/>
  <c r="M139" i="1" s="1"/>
  <c r="O139" i="1" s="1"/>
  <c r="Q139" i="1" s="1"/>
  <c r="S139" i="1" s="1"/>
  <c r="U139" i="1" s="1"/>
  <c r="W139" i="1" s="1"/>
  <c r="Y139" i="1" s="1"/>
  <c r="Y138" i="1" s="1"/>
  <c r="E78" i="1"/>
  <c r="G78" i="1" s="1"/>
  <c r="I78" i="1" s="1"/>
  <c r="K78" i="1" s="1"/>
  <c r="M78" i="1" s="1"/>
  <c r="O78" i="1" s="1"/>
  <c r="Q78" i="1" s="1"/>
  <c r="S78" i="1" s="1"/>
  <c r="U78" i="1" s="1"/>
  <c r="W78" i="1" s="1"/>
  <c r="G59" i="1"/>
  <c r="G58" i="1" s="1"/>
  <c r="D90" i="1"/>
  <c r="E110" i="1"/>
  <c r="G112" i="1"/>
  <c r="E33" i="1"/>
  <c r="I27" i="1"/>
  <c r="G26" i="1"/>
  <c r="E32" i="1"/>
  <c r="E26" i="1"/>
  <c r="E48" i="1"/>
  <c r="E47" i="1" s="1"/>
  <c r="G192" i="1"/>
  <c r="G33" i="1"/>
  <c r="E90" i="1"/>
  <c r="G90" i="1" s="1"/>
  <c r="I90" i="1" s="1"/>
  <c r="Y90" i="1"/>
  <c r="E87" i="1"/>
  <c r="G87" i="1" s="1"/>
  <c r="I87" i="1" s="1"/>
  <c r="K87" i="1" s="1"/>
  <c r="M87" i="1" s="1"/>
  <c r="O87" i="1" s="1"/>
  <c r="Q87" i="1" s="1"/>
  <c r="S87" i="1" s="1"/>
  <c r="U87" i="1" s="1"/>
  <c r="W87" i="1" s="1"/>
  <c r="E138" i="1"/>
  <c r="G138" i="1" s="1"/>
  <c r="I138" i="1" s="1"/>
  <c r="K138" i="1" s="1"/>
  <c r="M138" i="1" s="1"/>
  <c r="O138" i="1" s="1"/>
  <c r="Q138" i="1" s="1"/>
  <c r="S138" i="1" s="1"/>
  <c r="U138" i="1" s="1"/>
  <c r="W138" i="1" s="1"/>
  <c r="E149" i="1"/>
  <c r="E148" i="1" s="1"/>
  <c r="E145" i="1" s="1"/>
  <c r="E20" i="1"/>
  <c r="E19" i="1"/>
  <c r="G19" i="1" s="1"/>
  <c r="D18" i="1"/>
  <c r="F18" i="1"/>
  <c r="H18" i="1"/>
  <c r="J18" i="1"/>
  <c r="L18" i="1"/>
  <c r="N18" i="1"/>
  <c r="P18" i="1"/>
  <c r="R18" i="1"/>
  <c r="T18" i="1"/>
  <c r="V18" i="1"/>
  <c r="X18" i="1"/>
  <c r="C18" i="1"/>
  <c r="X22" i="1"/>
  <c r="V22" i="1"/>
  <c r="T22" i="1"/>
  <c r="R22" i="1"/>
  <c r="P22" i="1"/>
  <c r="N22" i="1"/>
  <c r="L22" i="1"/>
  <c r="J22" i="1"/>
  <c r="H22" i="1"/>
  <c r="F22" i="1"/>
  <c r="E24" i="1"/>
  <c r="G24" i="1" s="1"/>
  <c r="I24" i="1" s="1"/>
  <c r="K24" i="1" s="1"/>
  <c r="M24" i="1" s="1"/>
  <c r="O24" i="1" s="1"/>
  <c r="E23" i="1"/>
  <c r="G23" i="1" s="1"/>
  <c r="I23" i="1" s="1"/>
  <c r="K23" i="1" s="1"/>
  <c r="M23" i="1" s="1"/>
  <c r="O23" i="1" s="1"/>
  <c r="Q23" i="1" s="1"/>
  <c r="S23" i="1" s="1"/>
  <c r="D22" i="1"/>
  <c r="C22" i="1"/>
  <c r="X15" i="1"/>
  <c r="V15" i="1"/>
  <c r="T15" i="1"/>
  <c r="R15" i="1"/>
  <c r="P15" i="1"/>
  <c r="N15" i="1"/>
  <c r="L15" i="1"/>
  <c r="J15" i="1"/>
  <c r="H15" i="1"/>
  <c r="F15" i="1"/>
  <c r="E16" i="1"/>
  <c r="G16" i="1" s="1"/>
  <c r="I16" i="1" s="1"/>
  <c r="K16" i="1" s="1"/>
  <c r="M16" i="1" s="1"/>
  <c r="O16" i="1" s="1"/>
  <c r="Q16" i="1" s="1"/>
  <c r="S16" i="1" s="1"/>
  <c r="U16" i="1" s="1"/>
  <c r="W16" i="1" s="1"/>
  <c r="Y16" i="1" s="1"/>
  <c r="Y15" i="1" s="1"/>
  <c r="D15" i="1"/>
  <c r="C15" i="1"/>
  <c r="X11" i="1"/>
  <c r="V11" i="1"/>
  <c r="T11" i="1"/>
  <c r="R11" i="1"/>
  <c r="P11" i="1"/>
  <c r="N11" i="1"/>
  <c r="L11" i="1"/>
  <c r="J11" i="1"/>
  <c r="H11" i="1"/>
  <c r="F11" i="1"/>
  <c r="E13" i="1"/>
  <c r="G13" i="1" s="1"/>
  <c r="I13" i="1" s="1"/>
  <c r="K13" i="1" s="1"/>
  <c r="M13" i="1" s="1"/>
  <c r="O13" i="1" s="1"/>
  <c r="Q13" i="1" s="1"/>
  <c r="S13" i="1" s="1"/>
  <c r="U13" i="1" s="1"/>
  <c r="W13" i="1" s="1"/>
  <c r="Y13" i="1" s="1"/>
  <c r="E12" i="1"/>
  <c r="G12" i="1" s="1"/>
  <c r="I12" i="1" s="1"/>
  <c r="K12" i="1" s="1"/>
  <c r="M12" i="1" s="1"/>
  <c r="O12" i="1" s="1"/>
  <c r="Q12" i="1" s="1"/>
  <c r="S12" i="1" s="1"/>
  <c r="U12" i="1" s="1"/>
  <c r="W12" i="1" s="1"/>
  <c r="Y12" i="1" s="1"/>
  <c r="D11" i="1"/>
  <c r="C11" i="1"/>
  <c r="X8" i="1"/>
  <c r="V8" i="1"/>
  <c r="T8" i="1"/>
  <c r="R8" i="1"/>
  <c r="P8" i="1"/>
  <c r="N8" i="1"/>
  <c r="L8" i="1"/>
  <c r="J8" i="1"/>
  <c r="H8" i="1"/>
  <c r="F8" i="1"/>
  <c r="E9" i="1"/>
  <c r="G9" i="1" s="1"/>
  <c r="D8" i="1"/>
  <c r="X4" i="1"/>
  <c r="V4" i="1"/>
  <c r="T4" i="1"/>
  <c r="R4" i="1"/>
  <c r="P4" i="1"/>
  <c r="N4" i="1"/>
  <c r="L4" i="1"/>
  <c r="J4" i="1"/>
  <c r="H4" i="1"/>
  <c r="F4" i="1"/>
  <c r="E6" i="1"/>
  <c r="G6" i="1" s="1"/>
  <c r="I6" i="1" s="1"/>
  <c r="K6" i="1" s="1"/>
  <c r="M6" i="1" s="1"/>
  <c r="O6" i="1" s="1"/>
  <c r="Q6" i="1" s="1"/>
  <c r="S6" i="1" s="1"/>
  <c r="U6" i="1" s="1"/>
  <c r="W6" i="1" s="1"/>
  <c r="Y6" i="1" s="1"/>
  <c r="E5" i="1"/>
  <c r="G5" i="1" s="1"/>
  <c r="I5" i="1" s="1"/>
  <c r="K5" i="1" s="1"/>
  <c r="M5" i="1" s="1"/>
  <c r="O5" i="1" s="1"/>
  <c r="Q5" i="1" s="1"/>
  <c r="S5" i="1" s="1"/>
  <c r="U5" i="1" s="1"/>
  <c r="W5" i="1" s="1"/>
  <c r="Y5" i="1" s="1"/>
  <c r="D4" i="1"/>
  <c r="C4" i="1"/>
  <c r="F199" i="1" l="1"/>
  <c r="N199" i="1"/>
  <c r="V199" i="1"/>
  <c r="H199" i="1"/>
  <c r="P199" i="1"/>
  <c r="X199" i="1"/>
  <c r="D199" i="1"/>
  <c r="J199" i="1"/>
  <c r="R199" i="1"/>
  <c r="L199" i="1"/>
  <c r="T199" i="1"/>
  <c r="C199" i="1"/>
  <c r="Q24" i="1"/>
  <c r="S24" i="1" s="1"/>
  <c r="U24" i="1" s="1"/>
  <c r="W24" i="1" s="1"/>
  <c r="Y24" i="1" s="1"/>
  <c r="Q173" i="1"/>
  <c r="I33" i="1"/>
  <c r="I42" i="1"/>
  <c r="I41" i="1" s="1"/>
  <c r="I192" i="1"/>
  <c r="G191" i="1"/>
  <c r="I59" i="1"/>
  <c r="I58" i="1" s="1"/>
  <c r="G149" i="1"/>
  <c r="G148" i="1" s="1"/>
  <c r="G145" i="1" s="1"/>
  <c r="K90" i="1"/>
  <c r="I112" i="1"/>
  <c r="G110" i="1"/>
  <c r="G48" i="1"/>
  <c r="G47" i="1" s="1"/>
  <c r="E31" i="1"/>
  <c r="E30" i="1" s="1"/>
  <c r="G32" i="1"/>
  <c r="K27" i="1"/>
  <c r="I26" i="1"/>
  <c r="E18" i="1"/>
  <c r="I19" i="1"/>
  <c r="G20" i="1"/>
  <c r="I20" i="1" s="1"/>
  <c r="K20" i="1" s="1"/>
  <c r="M20" i="1" s="1"/>
  <c r="O20" i="1" s="1"/>
  <c r="Q20" i="1" s="1"/>
  <c r="S20" i="1" s="1"/>
  <c r="U20" i="1" s="1"/>
  <c r="W20" i="1" s="1"/>
  <c r="U23" i="1"/>
  <c r="W23" i="1" s="1"/>
  <c r="Y23" i="1" s="1"/>
  <c r="E15" i="1"/>
  <c r="G15" i="1" s="1"/>
  <c r="I15" i="1" s="1"/>
  <c r="K15" i="1" s="1"/>
  <c r="M15" i="1" s="1"/>
  <c r="O15" i="1" s="1"/>
  <c r="Q15" i="1" s="1"/>
  <c r="S15" i="1" s="1"/>
  <c r="Y11" i="1"/>
  <c r="Y4" i="1"/>
  <c r="G8" i="1"/>
  <c r="I9" i="1"/>
  <c r="E8" i="1"/>
  <c r="Y22" i="1" l="1"/>
  <c r="S173" i="1"/>
  <c r="K33" i="1"/>
  <c r="K42" i="1"/>
  <c r="K41" i="1" s="1"/>
  <c r="K192" i="1"/>
  <c r="I191" i="1"/>
  <c r="K59" i="1"/>
  <c r="K58" i="1" s="1"/>
  <c r="I149" i="1"/>
  <c r="I148" i="1" s="1"/>
  <c r="I145" i="1" s="1"/>
  <c r="M90" i="1"/>
  <c r="K112" i="1"/>
  <c r="I110" i="1"/>
  <c r="G31" i="1"/>
  <c r="G30" i="1" s="1"/>
  <c r="I32" i="1"/>
  <c r="M27" i="1"/>
  <c r="K26" i="1"/>
  <c r="I48" i="1"/>
  <c r="I47" i="1" s="1"/>
  <c r="G18" i="1"/>
  <c r="Y20" i="1"/>
  <c r="K19" i="1"/>
  <c r="I18" i="1"/>
  <c r="I8" i="1"/>
  <c r="K9" i="1"/>
  <c r="U173" i="1" l="1"/>
  <c r="M33" i="1"/>
  <c r="M42" i="1"/>
  <c r="M41" i="1" s="1"/>
  <c r="M192" i="1"/>
  <c r="K191" i="1"/>
  <c r="M59" i="1"/>
  <c r="M58" i="1" s="1"/>
  <c r="K149" i="1"/>
  <c r="K148" i="1" s="1"/>
  <c r="K145" i="1" s="1"/>
  <c r="O90" i="1"/>
  <c r="M112" i="1"/>
  <c r="K110" i="1"/>
  <c r="I31" i="1"/>
  <c r="I30" i="1" s="1"/>
  <c r="K32" i="1"/>
  <c r="K48" i="1"/>
  <c r="K47" i="1" s="1"/>
  <c r="O27" i="1"/>
  <c r="M26" i="1"/>
  <c r="M19" i="1"/>
  <c r="K18" i="1"/>
  <c r="K8" i="1"/>
  <c r="M9" i="1"/>
  <c r="W173" i="1" l="1"/>
  <c r="O33" i="1"/>
  <c r="O42" i="1"/>
  <c r="O41" i="1" s="1"/>
  <c r="O192" i="1"/>
  <c r="M191" i="1"/>
  <c r="O59" i="1"/>
  <c r="O58" i="1" s="1"/>
  <c r="M149" i="1"/>
  <c r="M148" i="1" s="1"/>
  <c r="M145" i="1" s="1"/>
  <c r="Q90" i="1"/>
  <c r="O112" i="1"/>
  <c r="M110" i="1"/>
  <c r="K31" i="1"/>
  <c r="K30" i="1" s="1"/>
  <c r="M32" i="1"/>
  <c r="Q27" i="1"/>
  <c r="O26" i="1"/>
  <c r="M48" i="1"/>
  <c r="M47" i="1" s="1"/>
  <c r="O19" i="1"/>
  <c r="M18" i="1"/>
  <c r="M8" i="1"/>
  <c r="O9" i="1"/>
  <c r="Y173" i="1" l="1"/>
  <c r="Q33" i="1"/>
  <c r="Q42" i="1"/>
  <c r="Q41" i="1" s="1"/>
  <c r="Q192" i="1"/>
  <c r="O191" i="1"/>
  <c r="Q59" i="1"/>
  <c r="Q58" i="1" s="1"/>
  <c r="O149" i="1"/>
  <c r="O148" i="1" s="1"/>
  <c r="O145" i="1" s="1"/>
  <c r="S90" i="1"/>
  <c r="Q112" i="1"/>
  <c r="O110" i="1"/>
  <c r="M31" i="1"/>
  <c r="M30" i="1" s="1"/>
  <c r="O32" i="1"/>
  <c r="O48" i="1"/>
  <c r="O47" i="1" s="1"/>
  <c r="S27" i="1"/>
  <c r="Q26" i="1"/>
  <c r="Q19" i="1"/>
  <c r="O18" i="1"/>
  <c r="O8" i="1"/>
  <c r="Q9" i="1"/>
  <c r="S33" i="1" l="1"/>
  <c r="S42" i="1"/>
  <c r="S41" i="1" s="1"/>
  <c r="S192" i="1"/>
  <c r="Q191" i="1"/>
  <c r="S59" i="1"/>
  <c r="S58" i="1" s="1"/>
  <c r="Q149" i="1"/>
  <c r="Q148" i="1" s="1"/>
  <c r="Q145" i="1" s="1"/>
  <c r="U90" i="1"/>
  <c r="S112" i="1"/>
  <c r="Q110" i="1"/>
  <c r="O31" i="1"/>
  <c r="O30" i="1" s="1"/>
  <c r="Q32" i="1"/>
  <c r="U27" i="1"/>
  <c r="S26" i="1"/>
  <c r="Q48" i="1"/>
  <c r="Q47" i="1" s="1"/>
  <c r="S19" i="1"/>
  <c r="Q18" i="1"/>
  <c r="Q8" i="1"/>
  <c r="S9" i="1"/>
  <c r="U33" i="1" l="1"/>
  <c r="U42" i="1"/>
  <c r="U41" i="1" s="1"/>
  <c r="U192" i="1"/>
  <c r="S191" i="1"/>
  <c r="U59" i="1"/>
  <c r="U58" i="1" s="1"/>
  <c r="S149" i="1"/>
  <c r="S148" i="1" s="1"/>
  <c r="S145" i="1" s="1"/>
  <c r="W90" i="1"/>
  <c r="U112" i="1"/>
  <c r="S110" i="1"/>
  <c r="Q31" i="1"/>
  <c r="Q30" i="1" s="1"/>
  <c r="S32" i="1"/>
  <c r="S48" i="1"/>
  <c r="S47" i="1" s="1"/>
  <c r="W27" i="1"/>
  <c r="U26" i="1"/>
  <c r="U19" i="1"/>
  <c r="S18" i="1"/>
  <c r="S8" i="1"/>
  <c r="U9" i="1"/>
  <c r="W33" i="1" l="1"/>
  <c r="W42" i="1"/>
  <c r="W41" i="1" s="1"/>
  <c r="W192" i="1"/>
  <c r="U191" i="1"/>
  <c r="W59" i="1"/>
  <c r="W58" i="1" s="1"/>
  <c r="U149" i="1"/>
  <c r="U148" i="1" s="1"/>
  <c r="U145" i="1" s="1"/>
  <c r="W112" i="1"/>
  <c r="U110" i="1"/>
  <c r="S31" i="1"/>
  <c r="S30" i="1" s="1"/>
  <c r="U32" i="1"/>
  <c r="Y27" i="1"/>
  <c r="Y26" i="1" s="1"/>
  <c r="W26" i="1"/>
  <c r="U48" i="1"/>
  <c r="U47" i="1" s="1"/>
  <c r="W19" i="1"/>
  <c r="U18" i="1"/>
  <c r="W9" i="1"/>
  <c r="U8" i="1"/>
  <c r="Y33" i="1" l="1"/>
  <c r="Y42" i="1"/>
  <c r="Y41" i="1" s="1"/>
  <c r="Y192" i="1"/>
  <c r="Y191" i="1" s="1"/>
  <c r="W191" i="1"/>
  <c r="Y59" i="1"/>
  <c r="Y58" i="1" s="1"/>
  <c r="W149" i="1"/>
  <c r="W148" i="1" s="1"/>
  <c r="W145" i="1" s="1"/>
  <c r="Y112" i="1"/>
  <c r="Y110" i="1" s="1"/>
  <c r="W110" i="1"/>
  <c r="U31" i="1"/>
  <c r="U30" i="1" s="1"/>
  <c r="W32" i="1"/>
  <c r="W48" i="1"/>
  <c r="W47" i="1" s="1"/>
  <c r="Y19" i="1"/>
  <c r="Y18" i="1" s="1"/>
  <c r="W18" i="1"/>
  <c r="W8" i="1"/>
  <c r="Y9" i="1"/>
  <c r="Y149" i="1" l="1"/>
  <c r="Y148" i="1" s="1"/>
  <c r="Y145" i="1" s="1"/>
  <c r="W31" i="1"/>
  <c r="W30" i="1" s="1"/>
  <c r="Y32" i="1"/>
  <c r="Y31" i="1" s="1"/>
  <c r="Y48" i="1"/>
  <c r="Y47" i="1" s="1"/>
  <c r="U15" i="1"/>
  <c r="W15" i="1" s="1"/>
  <c r="Y30" i="1" l="1"/>
  <c r="Y199" i="1" s="1"/>
  <c r="Y8" i="1"/>
  <c r="E11" i="1" l="1"/>
  <c r="G11" i="1" s="1"/>
  <c r="E4" i="1"/>
  <c r="G4" i="1" s="1"/>
  <c r="I4" i="1" s="1"/>
  <c r="K4" i="1" s="1"/>
  <c r="M4" i="1" l="1"/>
  <c r="I11" i="1"/>
  <c r="E22" i="1"/>
  <c r="E199" i="1" s="1"/>
  <c r="O4" i="1" l="1"/>
  <c r="G22" i="1"/>
  <c r="G199" i="1" s="1"/>
  <c r="K11" i="1"/>
  <c r="Q4" i="1" l="1"/>
  <c r="I22" i="1"/>
  <c r="I199" i="1" s="1"/>
  <c r="M11" i="1"/>
  <c r="S4" i="1" l="1"/>
  <c r="K22" i="1"/>
  <c r="K199" i="1" s="1"/>
  <c r="O11" i="1"/>
  <c r="U4" i="1" l="1"/>
  <c r="M22" i="1"/>
  <c r="M199" i="1" s="1"/>
  <c r="Q11" i="1"/>
  <c r="W4" i="1" l="1"/>
  <c r="O22" i="1"/>
  <c r="O199" i="1" s="1"/>
  <c r="S11" i="1"/>
  <c r="Q22" i="1" l="1"/>
  <c r="Q199" i="1" s="1"/>
  <c r="U11" i="1"/>
  <c r="S22" i="1" l="1"/>
  <c r="S199" i="1" s="1"/>
  <c r="W11" i="1"/>
  <c r="U22" i="1" l="1"/>
  <c r="U199" i="1" s="1"/>
  <c r="W22" i="1" l="1"/>
  <c r="W199" i="1" s="1"/>
</calcChain>
</file>

<file path=xl/sharedStrings.xml><?xml version="1.0" encoding="utf-8"?>
<sst xmlns="http://schemas.openxmlformats.org/spreadsheetml/2006/main" count="228" uniqueCount="154">
  <si>
    <t>Наименование</t>
  </si>
  <si>
    <t>Раздел</t>
  </si>
  <si>
    <t>январь</t>
  </si>
  <si>
    <t>КОСГУ</t>
  </si>
  <si>
    <t>февраль</t>
  </si>
  <si>
    <t>с нач. года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</si>
  <si>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</si>
  <si>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</si>
  <si>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</si>
  <si>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</si>
  <si>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</si>
  <si>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</si>
  <si>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</si>
  <si>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</si>
  <si>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</si>
  <si>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</si>
  <si>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Раздел </t>
  </si>
  <si>
    <t>0102 9018025 121 (Глава)</t>
  </si>
  <si>
    <t>Заработная плата</t>
  </si>
  <si>
    <t>Суточные</t>
  </si>
  <si>
    <t>Страховые взносы</t>
  </si>
  <si>
    <t>0102 9018025 122 (Глава)</t>
  </si>
  <si>
    <t>0103 9018021 121 (Совет депутатов)</t>
  </si>
  <si>
    <t>0103 9018021 122 (Совет депутатов)</t>
  </si>
  <si>
    <t>0103 9018021 244 (Совет депутатов)</t>
  </si>
  <si>
    <t>0104 9018021 121 (Штат)</t>
  </si>
  <si>
    <t>0104 9018021 122 (Штат)</t>
  </si>
  <si>
    <t>0104 9018021 244 (Штат)</t>
  </si>
  <si>
    <t>Проезд поездом, автобусом</t>
  </si>
  <si>
    <t>Уличное освещение</t>
  </si>
  <si>
    <t>Электроэнергия</t>
  </si>
  <si>
    <t>Бензин марки АИ-92</t>
  </si>
  <si>
    <t>0503 0138103 244 (Уличное освещение)</t>
  </si>
  <si>
    <t>0801 0218062 611 (Субсидия ДК)</t>
  </si>
  <si>
    <t xml:space="preserve">Всего </t>
  </si>
  <si>
    <t>КонсультантПлюс</t>
  </si>
  <si>
    <t>Установка ОДПУ по тепловой энергии</t>
  </si>
  <si>
    <t>Установка ОДПУ по холодной воде</t>
  </si>
  <si>
    <t>Текущие ремонты и тех. обслуживание</t>
  </si>
  <si>
    <t>Охрана общественного порядка</t>
  </si>
  <si>
    <t>0113 9018023 244 (Прочие)</t>
  </si>
  <si>
    <t>Расчистка полигона от ТБО</t>
  </si>
  <si>
    <t>0503 0118116 244 (Благоустройство)</t>
  </si>
  <si>
    <t>Предрейсовый медицинский осмотр</t>
  </si>
  <si>
    <t>0113 9018022 852 (Членские взносы)</t>
  </si>
  <si>
    <t>0314 0158205 244 (Профилактика терроризма)</t>
  </si>
  <si>
    <t>1105 0228081 244 (Спортивные мероприятия)</t>
  </si>
  <si>
    <t>Техническая инвентаризация</t>
  </si>
  <si>
    <t>0113 9018085 244 (Оформление имущества)</t>
  </si>
  <si>
    <t>0203 9025118 121 (ВУС)</t>
  </si>
  <si>
    <t>0203 9025118 244 (ВУС)</t>
  </si>
  <si>
    <t>Подарочные наборы (Лыжня России)</t>
  </si>
  <si>
    <t>Подарочные наборы (Волейбол к 8 марта)</t>
  </si>
  <si>
    <t>Подарочные наборы (Гири среди школьн.)</t>
  </si>
  <si>
    <t>Итого 223</t>
  </si>
  <si>
    <t>Итого 225</t>
  </si>
  <si>
    <t>Итого 226</t>
  </si>
  <si>
    <t>Итого 340</t>
  </si>
  <si>
    <t>Итого 221</t>
  </si>
  <si>
    <t>Обслуживание системы видеонаблюдения</t>
  </si>
  <si>
    <t>Ремонт и обслуживание оргтехники</t>
  </si>
  <si>
    <t>0113 0138502 244 (Энергосбережение)</t>
  </si>
  <si>
    <t>Установка приборов водоснабжения</t>
  </si>
  <si>
    <t>Приборы учета хол. и гор. водоснабжения</t>
  </si>
  <si>
    <t>226</t>
  </si>
  <si>
    <t>Заработная плата по договорам</t>
  </si>
  <si>
    <t>0503 0138502 244 (Энергосбережение)</t>
  </si>
  <si>
    <t>Оплата семинара</t>
  </si>
  <si>
    <t>ХВС, ГВС, Водоотведение (Гараж) №3369</t>
  </si>
  <si>
    <t>ХВС, ГВС, Водоотведение (Администрация) №3368</t>
  </si>
  <si>
    <t>Тепловая энергия (Администрация) №3347</t>
  </si>
  <si>
    <t>0801 0218063 244 (Библиотека)</t>
  </si>
  <si>
    <t>0412 9048303 540 (Градостроительство)</t>
  </si>
  <si>
    <t>Тепловая энергия (Гараж) №3348</t>
  </si>
  <si>
    <t>Ремонт колонок</t>
  </si>
  <si>
    <t>0502 0118025 244 (Коммунальное хозяйство)</t>
  </si>
  <si>
    <t>Замена ламп</t>
  </si>
  <si>
    <t>0503 0138113 244 (Уличное освещение)</t>
  </si>
  <si>
    <t>Изготовление межевого плана</t>
  </si>
  <si>
    <t>0412 9048309 244 (Землеустройство)</t>
  </si>
  <si>
    <t>Подарочные наборы и сувениры</t>
  </si>
  <si>
    <t>0801 0218064 244 (Праздничные мероприятия)</t>
  </si>
  <si>
    <t>Содержание дорог в зимний период</t>
  </si>
  <si>
    <t>0409 0168203 244 (Содержание дорог)</t>
  </si>
  <si>
    <t>0409 0168102 244 (Содержание дорог)</t>
  </si>
  <si>
    <t>Содержание дорог в весенний период</t>
  </si>
  <si>
    <t>Плата за размещение отходов</t>
  </si>
  <si>
    <t>Плата за выбросы в атмосферный воздух</t>
  </si>
  <si>
    <t>0104 9018021 852 (Целевые взносы)</t>
  </si>
  <si>
    <t>Автомобильное масло</t>
  </si>
  <si>
    <t>Запчасти на автомобиль</t>
  </si>
  <si>
    <t>0503 0118115 244 (Содержание мест захоронения)</t>
  </si>
  <si>
    <t>Подарочные наборы (Настольный теннис)</t>
  </si>
  <si>
    <t>Подарочные наборы (Эстафета на День Победы)</t>
  </si>
  <si>
    <t>Подарочные наборы (Пауэрлифтинг)</t>
  </si>
  <si>
    <t>Канцелярские товары</t>
  </si>
  <si>
    <t>Итого 310</t>
  </si>
  <si>
    <t>Знамя РФ</t>
  </si>
  <si>
    <t>Содержание свалки в с.Поначево</t>
  </si>
  <si>
    <t>Устройство минер. защитных против. полос с.Поначево</t>
  </si>
  <si>
    <t>0310 0148204 244 (Пожарная безопасность)</t>
  </si>
  <si>
    <t>Вывоз мусора трактором МТЗ-82</t>
  </si>
  <si>
    <t>Зооэнтомологическое обследование</t>
  </si>
  <si>
    <t>0909 9098555 244 (Акарицидная обработка)</t>
  </si>
  <si>
    <t>Бумага и картридж</t>
  </si>
  <si>
    <t>0113 9017514 244 (Административная комиссия)</t>
  </si>
  <si>
    <t>Итого 224</t>
  </si>
  <si>
    <t xml:space="preserve">Оборудование ONT (для интернет) </t>
  </si>
  <si>
    <t>Техническое обслуживание пожарной сигнализации</t>
  </si>
  <si>
    <t>Подписка на 2 полугодие</t>
  </si>
  <si>
    <t>Знаки дорожные</t>
  </si>
  <si>
    <t>0409 0128213 244 (Проект дорожного движения)</t>
  </si>
  <si>
    <t>Монтаж знаков дорожных</t>
  </si>
  <si>
    <t>0503 0118357 244 (Благоустройство)</t>
  </si>
  <si>
    <t>Договоры по благоустройству с ЦЗ</t>
  </si>
  <si>
    <t>221</t>
  </si>
  <si>
    <t>ОАО "Ростелеком" (услуги связи)</t>
  </si>
  <si>
    <t>Субсидия на выполнение муниципального задания</t>
  </si>
  <si>
    <t>0801 0211021 611 (Региональные выплаты до МРОТ)</t>
  </si>
  <si>
    <t>Кассовые расходы за 2014 год</t>
  </si>
  <si>
    <t>Хозяйственные и строительные товары</t>
  </si>
  <si>
    <t>Ремонт пола в кабинете ВУС</t>
  </si>
  <si>
    <t>Барьерное ограждение</t>
  </si>
  <si>
    <t>Горизонтальная дорожная разметка</t>
  </si>
  <si>
    <t>Автошины (летние)</t>
  </si>
  <si>
    <t>Итого 222</t>
  </si>
  <si>
    <t>Поставка малых архитектурных форм</t>
  </si>
  <si>
    <t>Установка малых архитектурных форм</t>
  </si>
  <si>
    <t>Карусель, рукоход, турники</t>
  </si>
  <si>
    <t>Содержание дорог в летний период</t>
  </si>
  <si>
    <t>Ремонт аттракциона "Карусель"</t>
  </si>
  <si>
    <t>За разм.инф.в книге 80лет Кр.краю</t>
  </si>
  <si>
    <t>0801 0218481 612(Субсидия ДК)</t>
  </si>
  <si>
    <t>Подарочные наборы(Кросс Наций)</t>
  </si>
  <si>
    <t>Изготовление бланков</t>
  </si>
  <si>
    <t>0801 0217481 612(Субсидия ДК)</t>
  </si>
  <si>
    <t>0113 9018307 540 (Передача полномочий)</t>
  </si>
  <si>
    <t>Субвенция на финансовый контроль</t>
  </si>
  <si>
    <t>Поддержка социокультурных проектов МБУК</t>
  </si>
  <si>
    <t xml:space="preserve">софинасирование гранта </t>
  </si>
  <si>
    <t>ОАО "Ростелеком"Услуги связи</t>
  </si>
  <si>
    <t>Лампы светодиодные, светильники</t>
  </si>
  <si>
    <t>Тепловая энергия (Муницип имущество Баня)№3367</t>
  </si>
  <si>
    <t>ООО "Росгосстрах"Страховка автомобиля</t>
  </si>
  <si>
    <t>Обновление Проргамм</t>
  </si>
  <si>
    <t>ОАО "Ростелеком" Услуги связи</t>
  </si>
  <si>
    <t>Целевой взнос в Совет МО</t>
  </si>
  <si>
    <t>Очистка от снега и подсыпка щебнем</t>
  </si>
  <si>
    <t xml:space="preserve">Акарицидная обработка от клещей </t>
  </si>
  <si>
    <t xml:space="preserve">и.о.Главы поселка </t>
  </si>
  <si>
    <t>Г.Г.Кузик</t>
  </si>
  <si>
    <t>Главный бухгалтер</t>
  </si>
  <si>
    <t>С.Р.Бланк</t>
  </si>
  <si>
    <t>Администрация поселка Большая Ирба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</si>
</sst>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7FDA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2" fontId="0" fillId="0" borderId="0" xfId="0" applyNumberFormat="1"/>
    <xf numFmtId="16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4" fillId="0" borderId="9" xfId="0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5" fillId="0" borderId="1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0" fontId="5" fillId="3" borderId="1" xfId="0" applyFont="1" applyFill="1" applyBorder="1"/>
    <xf numFmtId="2" fontId="6" fillId="3" borderId="1" xfId="0" applyNumberFormat="1" applyFont="1" applyFill="1" applyBorder="1"/>
    <xf numFmtId="0" fontId="6" fillId="4" borderId="1" xfId="0" applyFont="1" applyFill="1" applyBorder="1"/>
    <xf numFmtId="0" fontId="5" fillId="4" borderId="1" xfId="0" applyFont="1" applyFill="1" applyBorder="1"/>
    <xf numFmtId="2" fontId="6" fillId="4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5" fillId="0" borderId="2" xfId="0" applyFont="1" applyBorder="1"/>
    <xf numFmtId="0" fontId="6" fillId="9" borderId="1" xfId="0" applyFont="1" applyFill="1" applyBorder="1"/>
    <xf numFmtId="0" fontId="5" fillId="9" borderId="1" xfId="0" applyFont="1" applyFill="1" applyBorder="1"/>
    <xf numFmtId="2" fontId="6" fillId="9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right"/>
    </xf>
    <xf numFmtId="0" fontId="5" fillId="12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5" xfId="0" applyFont="1" applyFill="1" applyBorder="1" applyAlignment="1">
      <alignment horizontal="left"/>
    </xf>
    <xf numFmtId="0" fontId="5" fillId="8" borderId="1" xfId="0" applyFont="1" applyFill="1" applyBorder="1"/>
    <xf numFmtId="2" fontId="6" fillId="8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/>
    <xf numFmtId="4" fontId="5" fillId="0" borderId="1" xfId="0" applyNumberFormat="1" applyFont="1" applyBorder="1"/>
    <xf numFmtId="4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6" fillId="6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5" fillId="1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/>
    <xf numFmtId="0" fontId="6" fillId="2" borderId="4" xfId="0" applyFont="1" applyFill="1" applyBorder="1" applyAlignment="1"/>
    <xf numFmtId="0" fontId="6" fillId="2" borderId="3" xfId="0" applyFont="1" applyFill="1" applyBorder="1" applyAlignment="1"/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49" fontId="6" fillId="2" borderId="2" xfId="0" applyNumberFormat="1" applyFont="1" applyFill="1" applyBorder="1" applyAlignment="1"/>
    <xf numFmtId="49" fontId="6" fillId="2" borderId="4" xfId="0" applyNumberFormat="1" applyFont="1" applyFill="1" applyBorder="1" applyAlignment="1"/>
    <xf numFmtId="0" fontId="6" fillId="6" borderId="2" xfId="0" applyFont="1" applyFill="1" applyBorder="1" applyAlignment="1"/>
    <xf numFmtId="0" fontId="6" fillId="6" borderId="3" xfId="0" applyFont="1" applyFill="1" applyBorder="1" applyAlignment="1"/>
    <xf numFmtId="0" fontId="6" fillId="6" borderId="4" xfId="0" applyFont="1" applyFill="1" applyBorder="1" applyAlignment="1"/>
    <xf numFmtId="49" fontId="6" fillId="6" borderId="2" xfId="0" applyNumberFormat="1" applyFont="1" applyFill="1" applyBorder="1" applyAlignment="1"/>
    <xf numFmtId="49" fontId="6" fillId="6" borderId="4" xfId="0" applyNumberFormat="1" applyFont="1" applyFill="1" applyBorder="1" applyAlignment="1"/>
    <xf numFmtId="0" fontId="6" fillId="5" borderId="2" xfId="0" applyFont="1" applyFill="1" applyBorder="1" applyAlignment="1"/>
    <xf numFmtId="0" fontId="6" fillId="5" borderId="3" xfId="0" applyFont="1" applyFill="1" applyBorder="1" applyAlignment="1"/>
    <xf numFmtId="0" fontId="6" fillId="5" borderId="4" xfId="0" applyFont="1" applyFill="1" applyBorder="1" applyAlignment="1"/>
    <xf numFmtId="49" fontId="6" fillId="5" borderId="2" xfId="0" applyNumberFormat="1" applyFont="1" applyFill="1" applyBorder="1" applyAlignment="1"/>
    <xf numFmtId="49" fontId="6" fillId="5" borderId="4" xfId="0" applyNumberFormat="1" applyFont="1" applyFill="1" applyBorder="1" applyAlignment="1"/>
    <xf numFmtId="0" fontId="6" fillId="3" borderId="2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6" fillId="13" borderId="2" xfId="0" applyFont="1" applyFill="1" applyBorder="1" applyAlignment="1"/>
    <xf numFmtId="0" fontId="6" fillId="13" borderId="3" xfId="0" applyFont="1" applyFill="1" applyBorder="1" applyAlignment="1"/>
    <xf numFmtId="0" fontId="6" fillId="13" borderId="4" xfId="0" applyFont="1" applyFill="1" applyBorder="1" applyAlignment="1"/>
    <xf numFmtId="0" fontId="6" fillId="13" borderId="2" xfId="0" applyFont="1" applyFill="1" applyBorder="1" applyAlignment="1">
      <alignment horizontal="right"/>
    </xf>
    <xf numFmtId="0" fontId="6" fillId="13" borderId="4" xfId="0" applyFont="1" applyFill="1" applyBorder="1" applyAlignment="1">
      <alignment horizontal="right"/>
    </xf>
    <xf numFmtId="0" fontId="6" fillId="10" borderId="2" xfId="0" applyFont="1" applyFill="1" applyBorder="1" applyAlignment="1"/>
    <xf numFmtId="0" fontId="6" fillId="10" borderId="3" xfId="0" applyFont="1" applyFill="1" applyBorder="1" applyAlignment="1"/>
    <xf numFmtId="0" fontId="6" fillId="10" borderId="4" xfId="0" applyFont="1" applyFill="1" applyBorder="1" applyAlignment="1"/>
    <xf numFmtId="0" fontId="6" fillId="7" borderId="2" xfId="0" applyFont="1" applyFill="1" applyBorder="1" applyAlignment="1"/>
    <xf numFmtId="0" fontId="6" fillId="7" borderId="3" xfId="0" applyFont="1" applyFill="1" applyBorder="1" applyAlignment="1"/>
    <xf numFmtId="0" fontId="6" fillId="7" borderId="4" xfId="0" applyFont="1" applyFill="1" applyBorder="1" applyAlignment="1"/>
    <xf numFmtId="0" fontId="6" fillId="11" borderId="2" xfId="0" applyFont="1" applyFill="1" applyBorder="1" applyAlignment="1"/>
    <xf numFmtId="0" fontId="6" fillId="11" borderId="3" xfId="0" applyFont="1" applyFill="1" applyBorder="1" applyAlignment="1"/>
    <xf numFmtId="0" fontId="6" fillId="11" borderId="4" xfId="0" applyFont="1" applyFill="1" applyBorder="1" applyAlignment="1"/>
    <xf numFmtId="0" fontId="6" fillId="6" borderId="2" xfId="0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49" fontId="6" fillId="4" borderId="2" xfId="0" applyNumberFormat="1" applyFont="1" applyFill="1" applyBorder="1" applyAlignment="1"/>
    <xf numFmtId="49" fontId="6" fillId="4" borderId="4" xfId="0" applyNumberFormat="1" applyFont="1" applyFill="1" applyBorder="1" applyAlignment="1"/>
    <xf numFmtId="4" fontId="6" fillId="13" borderId="1" xfId="0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/>
    <xf numFmtId="4" fontId="6" fillId="10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/>
    <xf numFmtId="4" fontId="6" fillId="7" borderId="1" xfId="0" applyNumberFormat="1" applyFont="1" applyFill="1" applyBorder="1"/>
    <xf numFmtId="4" fontId="6" fillId="11" borderId="1" xfId="0" applyNumberFormat="1" applyFont="1" applyFill="1" applyBorder="1"/>
    <xf numFmtId="4" fontId="5" fillId="0" borderId="3" xfId="0" applyNumberFormat="1" applyFont="1" applyBorder="1" applyAlignment="1">
      <alignment horizontal="right" vertical="center"/>
    </xf>
    <xf numFmtId="0" fontId="0" fillId="12" borderId="0" xfId="0" applyFill="1"/>
    <xf numFmtId="0" fontId="5" fillId="3" borderId="3" xfId="0" applyFont="1" applyFill="1" applyBorder="1"/>
    <xf numFmtId="4" fontId="5" fillId="3" borderId="3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left"/>
    </xf>
    <xf numFmtId="4" fontId="5" fillId="14" borderId="1" xfId="0" applyNumberFormat="1" applyFont="1" applyFill="1" applyBorder="1" applyAlignment="1">
      <alignment horizontal="right" vertical="center"/>
    </xf>
    <xf numFmtId="4" fontId="6" fillId="12" borderId="1" xfId="0" applyNumberFormat="1" applyFont="1" applyFill="1" applyBorder="1" applyAlignment="1">
      <alignment horizontal="right" vertical="center"/>
    </xf>
    <xf numFmtId="0" fontId="5" fillId="12" borderId="2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right"/>
    </xf>
    <xf numFmtId="0" fontId="5" fillId="5" borderId="3" xfId="0" applyFont="1" applyFill="1" applyBorder="1"/>
    <xf numFmtId="4" fontId="5" fillId="5" borderId="3" xfId="0" applyNumberFormat="1" applyFont="1" applyFill="1" applyBorder="1" applyAlignment="1">
      <alignment horizontal="right" vertical="center"/>
    </xf>
    <xf numFmtId="4" fontId="5" fillId="5" borderId="4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left"/>
    </xf>
    <xf numFmtId="3" fontId="5" fillId="0" borderId="2" xfId="0" applyNumberFormat="1" applyFont="1" applyBorder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4" fontId="6" fillId="8" borderId="1" xfId="0" applyNumberFormat="1" applyFont="1" applyFill="1" applyBorder="1" applyAlignment="1"/>
    <xf numFmtId="0" fontId="6" fillId="8" borderId="2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3" fontId="6" fillId="5" borderId="2" xfId="0" applyNumberFormat="1" applyFont="1" applyFill="1" applyBorder="1" applyAlignment="1">
      <alignment horizontal="left"/>
    </xf>
    <xf numFmtId="3" fontId="6" fillId="5" borderId="3" xfId="0" applyNumberFormat="1" applyFont="1" applyFill="1" applyBorder="1" applyAlignment="1">
      <alignment horizontal="left"/>
    </xf>
    <xf numFmtId="0" fontId="7" fillId="0" borderId="9" xfId="0" applyFont="1" applyBorder="1" applyAlignment="1">
      <alignment horizontal="right" vertical="center"/>
    </xf>
    <xf numFmtId="0" fontId="8" fillId="0" borderId="0" xfId="0" applyFont="1" applyFill="1" applyBorder="1"/>
    <xf numFmtId="0" fontId="8" fillId="0" borderId="0" xfId="0" applyFont="1"/>
    <xf numFmtId="2" fontId="8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/>
    <xf numFmtId="0" fontId="4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CC"/>
      <color rgb="FFF7FD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40" customWidth="1"/>
    <col min="2" max="2" width="9.85546875" customWidth="1"/>
    <col min="3" max="3" width="0.28515625" customWidth="1"/>
    <col min="4" max="4" width="11.7109375" hidden="1" customWidth="1"/>
    <col min="5" max="7" width="13" hidden="1" customWidth="1"/>
    <col min="8" max="8" width="13.42578125" hidden="1" customWidth="1"/>
    <col min="9" max="9" width="13" hidden="1" customWidth="1"/>
    <col min="10" max="10" width="13.5703125" hidden="1" customWidth="1"/>
    <col min="11" max="11" width="13.140625" hidden="1" customWidth="1"/>
    <col min="12" max="12" width="11.7109375" hidden="1" customWidth="1"/>
    <col min="13" max="13" width="14.85546875" customWidth="1"/>
    <col min="14" max="14" width="13.85546875" customWidth="1"/>
    <col min="15" max="15" width="13.140625" hidden="1" customWidth="1"/>
    <col min="16" max="16" width="11.7109375" customWidth="1"/>
    <col min="17" max="17" width="0.140625" customWidth="1"/>
    <col min="18" max="18" width="11.7109375" customWidth="1"/>
    <col min="19" max="19" width="13.28515625" customWidth="1"/>
    <col min="20" max="20" width="0.28515625" customWidth="1"/>
    <col min="21" max="21" width="13.42578125" hidden="1" customWidth="1"/>
    <col min="22" max="22" width="0.28515625" customWidth="1"/>
    <col min="23" max="23" width="13.140625" hidden="1" customWidth="1"/>
    <col min="24" max="24" width="11.7109375" hidden="1" customWidth="1"/>
    <col min="25" max="25" width="12.7109375" hidden="1" customWidth="1"/>
    <col min="26" max="26" width="11.5703125" bestFit="1" customWidth="1"/>
  </cols>
  <sheetData>
    <row r="1" spans="1:26" ht="33.75" customHeight="1" thickBot="1" x14ac:dyDescent="0.3">
      <c r="A1" s="140" t="s">
        <v>153</v>
      </c>
      <c r="B1" s="140"/>
      <c r="C1" s="8"/>
      <c r="D1" s="8"/>
      <c r="E1" s="8"/>
      <c r="F1" s="135" t="s">
        <v>119</v>
      </c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26" ht="18" customHeight="1" thickBot="1" x14ac:dyDescent="0.3">
      <c r="A2" s="9" t="s">
        <v>0</v>
      </c>
      <c r="B2" s="10" t="s">
        <v>3</v>
      </c>
      <c r="C2" s="10" t="s">
        <v>2</v>
      </c>
      <c r="D2" s="10" t="s">
        <v>4</v>
      </c>
      <c r="E2" s="10" t="s">
        <v>5</v>
      </c>
      <c r="F2" s="10" t="s">
        <v>6</v>
      </c>
      <c r="G2" s="10" t="s">
        <v>5</v>
      </c>
      <c r="H2" s="10" t="s">
        <v>7</v>
      </c>
      <c r="I2" s="10" t="s">
        <v>5</v>
      </c>
      <c r="J2" s="10" t="s">
        <v>8</v>
      </c>
      <c r="K2" s="10" t="s">
        <v>5</v>
      </c>
      <c r="L2" s="10" t="s">
        <v>9</v>
      </c>
      <c r="M2" s="10" t="s">
        <v>5</v>
      </c>
      <c r="N2" s="10" t="s">
        <v>10</v>
      </c>
      <c r="O2" s="10" t="s">
        <v>5</v>
      </c>
      <c r="P2" s="10" t="s">
        <v>11</v>
      </c>
      <c r="Q2" s="10" t="s">
        <v>5</v>
      </c>
      <c r="R2" s="10" t="s">
        <v>12</v>
      </c>
      <c r="S2" s="10" t="s">
        <v>5</v>
      </c>
      <c r="T2" s="10" t="s">
        <v>13</v>
      </c>
      <c r="U2" s="10" t="s">
        <v>5</v>
      </c>
      <c r="V2" s="10" t="s">
        <v>14</v>
      </c>
      <c r="W2" s="10" t="s">
        <v>5</v>
      </c>
      <c r="X2" s="10" t="s">
        <v>15</v>
      </c>
      <c r="Y2" s="11" t="s">
        <v>5</v>
      </c>
    </row>
    <row r="3" spans="1:26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</row>
    <row r="4" spans="1:26" x14ac:dyDescent="0.25">
      <c r="A4" s="57" t="s">
        <v>17</v>
      </c>
      <c r="B4" s="58"/>
      <c r="C4" s="45">
        <f>SUM(C5:C6)</f>
        <v>14012</v>
      </c>
      <c r="D4" s="45">
        <f>SUM(D5:D6)</f>
        <v>77132.759999999995</v>
      </c>
      <c r="E4" s="45">
        <f>C4+D4</f>
        <v>91144.76</v>
      </c>
      <c r="F4" s="45">
        <f>SUM(F5:F6)</f>
        <v>31337.22</v>
      </c>
      <c r="G4" s="45">
        <f>E4+F4</f>
        <v>122481.98</v>
      </c>
      <c r="H4" s="45">
        <f>SUM(H5:H6)</f>
        <v>23628.36</v>
      </c>
      <c r="I4" s="45">
        <f>G4+H4</f>
        <v>146110.34</v>
      </c>
      <c r="J4" s="45">
        <f>SUM(J5:J6)</f>
        <v>46367.87</v>
      </c>
      <c r="K4" s="45">
        <f>I4+J4</f>
        <v>192478.21</v>
      </c>
      <c r="L4" s="45">
        <f>SUM(L5:L6)</f>
        <v>46367.87</v>
      </c>
      <c r="M4" s="45">
        <f>K4+L4</f>
        <v>238846.07999999999</v>
      </c>
      <c r="N4" s="45">
        <f>SUM(N5:N6)</f>
        <v>46367.86</v>
      </c>
      <c r="O4" s="45">
        <f>M4+N4</f>
        <v>285213.94</v>
      </c>
      <c r="P4" s="45">
        <f>SUM(P5:P6)</f>
        <v>46367.87</v>
      </c>
      <c r="Q4" s="45">
        <f>O4+P4</f>
        <v>331581.81</v>
      </c>
      <c r="R4" s="45">
        <f>SUM(R5:R6)</f>
        <v>74835.86</v>
      </c>
      <c r="S4" s="45">
        <f>Q4+R4</f>
        <v>406417.67</v>
      </c>
      <c r="T4" s="45">
        <f>SUM(T5:T6)</f>
        <v>0</v>
      </c>
      <c r="U4" s="45">
        <f>S4+T4</f>
        <v>406417.67</v>
      </c>
      <c r="V4" s="45">
        <f>SUM(V5:V6)</f>
        <v>0</v>
      </c>
      <c r="W4" s="45">
        <f>U4+V4</f>
        <v>406417.67</v>
      </c>
      <c r="X4" s="45">
        <f>SUM(X5:X6)</f>
        <v>0</v>
      </c>
      <c r="Y4" s="45">
        <f>SUM(Y5:Y6)</f>
        <v>406417.66999999993</v>
      </c>
      <c r="Z4" s="1"/>
    </row>
    <row r="5" spans="1:26" x14ac:dyDescent="0.25">
      <c r="A5" s="15" t="s">
        <v>18</v>
      </c>
      <c r="B5" s="15">
        <v>211</v>
      </c>
      <c r="C5" s="46">
        <v>14012</v>
      </c>
      <c r="D5" s="46">
        <v>65961.78</v>
      </c>
      <c r="E5" s="46">
        <f>C5+D5</f>
        <v>79973.78</v>
      </c>
      <c r="F5" s="46">
        <f>1509+9291.4+3800+494</f>
        <v>15094.4</v>
      </c>
      <c r="G5" s="46">
        <f>E5+F5</f>
        <v>95068.18</v>
      </c>
      <c r="H5" s="46">
        <f>5494.84+895+1612+12400</f>
        <v>20401.84</v>
      </c>
      <c r="I5" s="46">
        <f>G5+H5</f>
        <v>115470.01999999999</v>
      </c>
      <c r="J5" s="46">
        <f>3017+18583.8+1612+12400</f>
        <v>35612.800000000003</v>
      </c>
      <c r="K5" s="46">
        <f>I5+J5</f>
        <v>151082.82</v>
      </c>
      <c r="L5" s="46">
        <f>3018+18582.8+1612+12400</f>
        <v>35612.800000000003</v>
      </c>
      <c r="M5" s="46">
        <f>K5+L5</f>
        <v>186695.62</v>
      </c>
      <c r="N5" s="46">
        <f>3018+18582.8+1612+12400</f>
        <v>35612.800000000003</v>
      </c>
      <c r="O5" s="46">
        <f>M5+N5</f>
        <v>222308.41999999998</v>
      </c>
      <c r="P5" s="46">
        <f>3017+18583.8+1612+12400</f>
        <v>35612.800000000003</v>
      </c>
      <c r="Q5" s="46">
        <f>O5+P5</f>
        <v>257921.21999999997</v>
      </c>
      <c r="R5" s="46">
        <f>3018+18582.8+4685+31354+5700+741</f>
        <v>64080.800000000003</v>
      </c>
      <c r="S5" s="46">
        <f>Q5+R5</f>
        <v>322002.01999999996</v>
      </c>
      <c r="T5" s="46"/>
      <c r="U5" s="46">
        <f>S5+T5</f>
        <v>322002.01999999996</v>
      </c>
      <c r="V5" s="46"/>
      <c r="W5" s="46">
        <f>U5+V5</f>
        <v>322002.01999999996</v>
      </c>
      <c r="X5" s="46"/>
      <c r="Y5" s="46">
        <f>W5+X5</f>
        <v>322002.01999999996</v>
      </c>
    </row>
    <row r="6" spans="1:26" x14ac:dyDescent="0.25">
      <c r="A6" s="15" t="s">
        <v>20</v>
      </c>
      <c r="B6" s="15">
        <v>213</v>
      </c>
      <c r="C6" s="46"/>
      <c r="D6" s="46">
        <v>11170.98</v>
      </c>
      <c r="E6" s="46">
        <f>C6+D6</f>
        <v>11170.98</v>
      </c>
      <c r="F6" s="46">
        <f>107.57+1559.74+2742.99+11832.52</f>
        <v>16242.82</v>
      </c>
      <c r="G6" s="46">
        <f>E6+F6</f>
        <v>27413.8</v>
      </c>
      <c r="H6" s="46">
        <f>21.37+309.83+544.88+2350.44</f>
        <v>3226.52</v>
      </c>
      <c r="I6" s="46">
        <f>G6+H6</f>
        <v>30640.32</v>
      </c>
      <c r="J6" s="46">
        <f>71.23+1032.77+1816.25+7834.82</f>
        <v>10755.07</v>
      </c>
      <c r="K6" s="46">
        <f>I6+J6</f>
        <v>41395.39</v>
      </c>
      <c r="L6" s="46">
        <f>71.23+1032.77+1816.25+7834.82</f>
        <v>10755.07</v>
      </c>
      <c r="M6" s="46">
        <f>K6+L6</f>
        <v>52150.46</v>
      </c>
      <c r="N6" s="46">
        <f>71.21+1032.78+1816.26+7834.81</f>
        <v>10755.060000000001</v>
      </c>
      <c r="O6" s="46">
        <f>M6+N6</f>
        <v>62905.520000000004</v>
      </c>
      <c r="P6" s="46">
        <f>71.23+1032.77+1816.25+7834.82</f>
        <v>10755.07</v>
      </c>
      <c r="Q6" s="46">
        <f>O6+P6</f>
        <v>73660.59</v>
      </c>
      <c r="R6" s="46">
        <f>71.23+1032.77+1816.25+7834.81</f>
        <v>10755.060000000001</v>
      </c>
      <c r="S6" s="46">
        <f>Q6+R6</f>
        <v>84415.65</v>
      </c>
      <c r="T6" s="46"/>
      <c r="U6" s="46">
        <f>S6+T6</f>
        <v>84415.65</v>
      </c>
      <c r="V6" s="46"/>
      <c r="W6" s="46">
        <f>U6+V6</f>
        <v>84415.65</v>
      </c>
      <c r="X6" s="46"/>
      <c r="Y6" s="46">
        <f>W6+X6</f>
        <v>84415.65</v>
      </c>
    </row>
    <row r="7" spans="1:26" x14ac:dyDescent="0.25">
      <c r="A7" s="57" t="s">
        <v>16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8"/>
    </row>
    <row r="8" spans="1:26" x14ac:dyDescent="0.25">
      <c r="A8" s="57" t="s">
        <v>21</v>
      </c>
      <c r="B8" s="58"/>
      <c r="C8" s="47"/>
      <c r="D8" s="47">
        <f>D9</f>
        <v>600</v>
      </c>
      <c r="E8" s="47">
        <f t="shared" ref="E8:Y8" si="0">E9</f>
        <v>600</v>
      </c>
      <c r="F8" s="47">
        <f>F9</f>
        <v>0</v>
      </c>
      <c r="G8" s="47">
        <f t="shared" si="0"/>
        <v>600</v>
      </c>
      <c r="H8" s="47">
        <f>H9</f>
        <v>0</v>
      </c>
      <c r="I8" s="47">
        <f t="shared" si="0"/>
        <v>600</v>
      </c>
      <c r="J8" s="47">
        <f>J9</f>
        <v>0</v>
      </c>
      <c r="K8" s="47">
        <f t="shared" si="0"/>
        <v>600</v>
      </c>
      <c r="L8" s="47">
        <f>L9</f>
        <v>0</v>
      </c>
      <c r="M8" s="47">
        <f t="shared" si="0"/>
        <v>600</v>
      </c>
      <c r="N8" s="47">
        <f>N9</f>
        <v>0</v>
      </c>
      <c r="O8" s="47">
        <f t="shared" si="0"/>
        <v>600</v>
      </c>
      <c r="P8" s="47">
        <f>P9</f>
        <v>0</v>
      </c>
      <c r="Q8" s="47">
        <f t="shared" si="0"/>
        <v>600</v>
      </c>
      <c r="R8" s="47">
        <f>R9</f>
        <v>0</v>
      </c>
      <c r="S8" s="47">
        <f t="shared" si="0"/>
        <v>600</v>
      </c>
      <c r="T8" s="47">
        <f>T9</f>
        <v>0</v>
      </c>
      <c r="U8" s="47">
        <f t="shared" si="0"/>
        <v>600</v>
      </c>
      <c r="V8" s="47">
        <f>V9</f>
        <v>0</v>
      </c>
      <c r="W8" s="47">
        <f t="shared" si="0"/>
        <v>600</v>
      </c>
      <c r="X8" s="47">
        <f>X9</f>
        <v>0</v>
      </c>
      <c r="Y8" s="47">
        <f t="shared" si="0"/>
        <v>600</v>
      </c>
    </row>
    <row r="9" spans="1:26" x14ac:dyDescent="0.25">
      <c r="A9" s="15" t="s">
        <v>19</v>
      </c>
      <c r="B9" s="15">
        <v>212</v>
      </c>
      <c r="C9" s="48"/>
      <c r="D9" s="48">
        <v>600</v>
      </c>
      <c r="E9" s="48">
        <f>C9+D9</f>
        <v>600</v>
      </c>
      <c r="F9" s="48"/>
      <c r="G9" s="48">
        <f>E9+F9</f>
        <v>600</v>
      </c>
      <c r="H9" s="48"/>
      <c r="I9" s="48">
        <f>G9+H9</f>
        <v>600</v>
      </c>
      <c r="J9" s="48"/>
      <c r="K9" s="48">
        <f>I9+J9</f>
        <v>600</v>
      </c>
      <c r="L9" s="48"/>
      <c r="M9" s="48">
        <f>K9+L9</f>
        <v>600</v>
      </c>
      <c r="N9" s="48"/>
      <c r="O9" s="48">
        <f>M9+N9</f>
        <v>600</v>
      </c>
      <c r="P9" s="48"/>
      <c r="Q9" s="48">
        <f>O9+P9</f>
        <v>600</v>
      </c>
      <c r="R9" s="48"/>
      <c r="S9" s="48">
        <f>Q9+R9</f>
        <v>600</v>
      </c>
      <c r="T9" s="48"/>
      <c r="U9" s="48">
        <f>S9+T9</f>
        <v>600</v>
      </c>
      <c r="V9" s="48"/>
      <c r="W9" s="48">
        <f>U9+V9</f>
        <v>600</v>
      </c>
      <c r="X9" s="48"/>
      <c r="Y9" s="48">
        <f>W9+X9</f>
        <v>600</v>
      </c>
    </row>
    <row r="10" spans="1:26" x14ac:dyDescent="0.25">
      <c r="A10" s="60" t="s">
        <v>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2"/>
    </row>
    <row r="11" spans="1:26" x14ac:dyDescent="0.25">
      <c r="A11" s="60" t="s">
        <v>22</v>
      </c>
      <c r="B11" s="62"/>
      <c r="C11" s="49">
        <f>SUM(C12:C13)</f>
        <v>4972</v>
      </c>
      <c r="D11" s="49">
        <f>SUM(D12:D13)</f>
        <v>16366.25</v>
      </c>
      <c r="E11" s="49">
        <f t="shared" ref="E11" si="1">C11+D11</f>
        <v>21338.25</v>
      </c>
      <c r="F11" s="49">
        <f>SUM(F12:F13)</f>
        <v>18174.27</v>
      </c>
      <c r="G11" s="49">
        <f t="shared" ref="G11" si="2">E11+F11</f>
        <v>39512.520000000004</v>
      </c>
      <c r="H11" s="49">
        <f>SUM(H12:H13)</f>
        <v>14558.25</v>
      </c>
      <c r="I11" s="49">
        <f t="shared" ref="I11" si="3">G11+H11</f>
        <v>54070.770000000004</v>
      </c>
      <c r="J11" s="49">
        <f>SUM(J12:J13)</f>
        <v>28028.019999999997</v>
      </c>
      <c r="K11" s="49">
        <f t="shared" ref="K11" si="4">I11+J11</f>
        <v>82098.790000000008</v>
      </c>
      <c r="L11" s="49">
        <f>SUM(L12:L13)</f>
        <v>9368.869999999999</v>
      </c>
      <c r="M11" s="49">
        <f t="shared" ref="M11" si="5">K11+L11</f>
        <v>91467.66</v>
      </c>
      <c r="N11" s="49">
        <f>SUM(N12:N13)</f>
        <v>10452.25</v>
      </c>
      <c r="O11" s="49">
        <f t="shared" ref="O11" si="6">M11+N11</f>
        <v>101919.91</v>
      </c>
      <c r="P11" s="49">
        <f>SUM(P12:P13)</f>
        <v>13541.26</v>
      </c>
      <c r="Q11" s="49">
        <f t="shared" ref="Q11" si="7">O11+P11</f>
        <v>115461.17</v>
      </c>
      <c r="R11" s="49">
        <f>SUM(R12:R13)</f>
        <v>17635.550000000003</v>
      </c>
      <c r="S11" s="49">
        <f t="shared" ref="S11" si="8">Q11+R11</f>
        <v>133096.72</v>
      </c>
      <c r="T11" s="49">
        <f>SUM(T12:T13)</f>
        <v>0</v>
      </c>
      <c r="U11" s="49">
        <f t="shared" ref="U11" si="9">S11+T11</f>
        <v>133096.72</v>
      </c>
      <c r="V11" s="49">
        <f>SUM(V12:V13)</f>
        <v>0</v>
      </c>
      <c r="W11" s="49">
        <f t="shared" ref="W11" si="10">U11+V11</f>
        <v>133096.72</v>
      </c>
      <c r="X11" s="49">
        <f>SUM(X12:X13)</f>
        <v>0</v>
      </c>
      <c r="Y11" s="49">
        <f>SUM(Y12:Y13)</f>
        <v>133096.72</v>
      </c>
    </row>
    <row r="12" spans="1:26" x14ac:dyDescent="0.25">
      <c r="A12" s="15" t="s">
        <v>18</v>
      </c>
      <c r="B12" s="15">
        <v>211</v>
      </c>
      <c r="C12" s="48">
        <v>4972</v>
      </c>
      <c r="D12" s="48">
        <v>12570.09</v>
      </c>
      <c r="E12" s="48">
        <f>C12+D12</f>
        <v>17542.09</v>
      </c>
      <c r="F12" s="48">
        <f>880+6718.09+6000+780</f>
        <v>14378.09</v>
      </c>
      <c r="G12" s="48">
        <f>E12+F12</f>
        <v>31920.18</v>
      </c>
      <c r="H12" s="48">
        <f>5118.09+672+572+4400</f>
        <v>10762.09</v>
      </c>
      <c r="I12" s="48">
        <f>G12+H12</f>
        <v>42682.270000000004</v>
      </c>
      <c r="J12" s="48">
        <f>2714+20387.85+130+1000</f>
        <v>24231.85</v>
      </c>
      <c r="K12" s="48">
        <f>I12+J12</f>
        <v>66914.12</v>
      </c>
      <c r="L12" s="48">
        <f>214+1300.96+273+2100</f>
        <v>3887.96</v>
      </c>
      <c r="M12" s="48">
        <f>K12+L12</f>
        <v>70802.080000000002</v>
      </c>
      <c r="N12" s="48">
        <f>318+3253.89+4500+585</f>
        <v>8656.89</v>
      </c>
      <c r="O12" s="48">
        <f>M12+N12</f>
        <v>79458.97</v>
      </c>
      <c r="P12" s="48">
        <f>867+6618.09+260+2000</f>
        <v>9745.09</v>
      </c>
      <c r="Q12" s="48">
        <f>O12+P12</f>
        <v>89204.06</v>
      </c>
      <c r="R12" s="48">
        <f>5883.31+866+4500+585</f>
        <v>11834.310000000001</v>
      </c>
      <c r="S12" s="48">
        <f>Q12+R12</f>
        <v>101038.37</v>
      </c>
      <c r="T12" s="48"/>
      <c r="U12" s="48">
        <f>S12+T12</f>
        <v>101038.37</v>
      </c>
      <c r="V12" s="48"/>
      <c r="W12" s="48">
        <f>U12+V12</f>
        <v>101038.37</v>
      </c>
      <c r="X12" s="48"/>
      <c r="Y12" s="48">
        <f>W12+X12</f>
        <v>101038.37</v>
      </c>
    </row>
    <row r="13" spans="1:26" x14ac:dyDescent="0.25">
      <c r="A13" s="15" t="s">
        <v>20</v>
      </c>
      <c r="B13" s="15">
        <v>213</v>
      </c>
      <c r="C13" s="48"/>
      <c r="D13" s="48">
        <v>3796.16</v>
      </c>
      <c r="E13" s="48">
        <f>C13+D13</f>
        <v>3796.16</v>
      </c>
      <c r="F13" s="48">
        <f>25.14+364.54+641.08+2765.42</f>
        <v>3796.1800000000003</v>
      </c>
      <c r="G13" s="48">
        <f>E13+F13</f>
        <v>7592.34</v>
      </c>
      <c r="H13" s="48">
        <f>25.14+364.53+641.07+2765.42</f>
        <v>3796.16</v>
      </c>
      <c r="I13" s="48">
        <f>G13+H13</f>
        <v>11388.5</v>
      </c>
      <c r="J13" s="48">
        <f>25.14+364.53+641.08+2765.42</f>
        <v>3796.17</v>
      </c>
      <c r="K13" s="48">
        <f>I13+J13</f>
        <v>15184.67</v>
      </c>
      <c r="L13" s="48">
        <f>36.3+526.31+925.58+3992.72</f>
        <v>5480.91</v>
      </c>
      <c r="M13" s="48">
        <f>K13+L13</f>
        <v>20665.580000000002</v>
      </c>
      <c r="N13" s="48">
        <f>11.89+172.41+303.19+1307.87</f>
        <v>1795.36</v>
      </c>
      <c r="O13" s="48">
        <f>M13+N13</f>
        <v>22460.940000000002</v>
      </c>
      <c r="P13" s="48">
        <f>25.14+364.53+641.08+2765.42</f>
        <v>3796.17</v>
      </c>
      <c r="Q13" s="48">
        <f>O13+P13</f>
        <v>26257.11</v>
      </c>
      <c r="R13" s="48">
        <f>3335.23+1712.46+396.98+15.57+341</f>
        <v>5801.24</v>
      </c>
      <c r="S13" s="48">
        <f>Q13+R13</f>
        <v>32058.35</v>
      </c>
      <c r="T13" s="48"/>
      <c r="U13" s="48">
        <f>S13+T13</f>
        <v>32058.35</v>
      </c>
      <c r="V13" s="48"/>
      <c r="W13" s="48">
        <f>U13+V13</f>
        <v>32058.35</v>
      </c>
      <c r="X13" s="48"/>
      <c r="Y13" s="48">
        <f>W13+X13</f>
        <v>32058.35</v>
      </c>
    </row>
    <row r="14" spans="1:26" x14ac:dyDescent="0.25">
      <c r="A14" s="60" t="s">
        <v>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1:26" x14ac:dyDescent="0.25">
      <c r="A15" s="60" t="s">
        <v>23</v>
      </c>
      <c r="B15" s="62"/>
      <c r="C15" s="18">
        <f>C16</f>
        <v>0</v>
      </c>
      <c r="D15" s="18">
        <f>D16</f>
        <v>0</v>
      </c>
      <c r="E15" s="18">
        <f t="shared" ref="E15" si="11">C15+D15</f>
        <v>0</v>
      </c>
      <c r="F15" s="18">
        <f>F16</f>
        <v>0</v>
      </c>
      <c r="G15" s="18">
        <f t="shared" ref="G15" si="12">E15+F15</f>
        <v>0</v>
      </c>
      <c r="H15" s="18">
        <f>H16</f>
        <v>0</v>
      </c>
      <c r="I15" s="18">
        <f t="shared" ref="I15" si="13">G15+H15</f>
        <v>0</v>
      </c>
      <c r="J15" s="18">
        <f>J16</f>
        <v>0</v>
      </c>
      <c r="K15" s="18">
        <f t="shared" ref="K15" si="14">I15+J15</f>
        <v>0</v>
      </c>
      <c r="L15" s="18">
        <f>L16</f>
        <v>0</v>
      </c>
      <c r="M15" s="18">
        <f t="shared" ref="M15" si="15">K15+L15</f>
        <v>0</v>
      </c>
      <c r="N15" s="18">
        <f>N16</f>
        <v>0</v>
      </c>
      <c r="O15" s="18">
        <f t="shared" ref="O15" si="16">M15+N15</f>
        <v>0</v>
      </c>
      <c r="P15" s="18">
        <f>P16</f>
        <v>0</v>
      </c>
      <c r="Q15" s="18">
        <f t="shared" ref="Q15" si="17">O15+P15</f>
        <v>0</v>
      </c>
      <c r="R15" s="18">
        <f>R16</f>
        <v>0</v>
      </c>
      <c r="S15" s="18">
        <f t="shared" ref="S15" si="18">Q15+R15</f>
        <v>0</v>
      </c>
      <c r="T15" s="18">
        <f>T16</f>
        <v>0</v>
      </c>
      <c r="U15" s="18">
        <f t="shared" ref="U15" si="19">S15+T15</f>
        <v>0</v>
      </c>
      <c r="V15" s="18">
        <f>V16</f>
        <v>0</v>
      </c>
      <c r="W15" s="18">
        <f t="shared" ref="W15" si="20">U15+V15</f>
        <v>0</v>
      </c>
      <c r="X15" s="18">
        <f>X16</f>
        <v>0</v>
      </c>
      <c r="Y15" s="18">
        <f>Y16</f>
        <v>0</v>
      </c>
    </row>
    <row r="16" spans="1:26" x14ac:dyDescent="0.25">
      <c r="A16" s="15" t="s">
        <v>19</v>
      </c>
      <c r="B16" s="15">
        <v>212</v>
      </c>
      <c r="C16" s="17"/>
      <c r="D16" s="17"/>
      <c r="E16" s="17">
        <f>C16+D16</f>
        <v>0</v>
      </c>
      <c r="F16" s="17"/>
      <c r="G16" s="17">
        <f>E16+F16</f>
        <v>0</v>
      </c>
      <c r="H16" s="17"/>
      <c r="I16" s="17">
        <f>G16+H16</f>
        <v>0</v>
      </c>
      <c r="J16" s="17"/>
      <c r="K16" s="17">
        <f>I16+J16</f>
        <v>0</v>
      </c>
      <c r="L16" s="17"/>
      <c r="M16" s="17">
        <f>K16+L16</f>
        <v>0</v>
      </c>
      <c r="N16" s="17"/>
      <c r="O16" s="17">
        <f>M16+N16</f>
        <v>0</v>
      </c>
      <c r="P16" s="17"/>
      <c r="Q16" s="17">
        <f>O16+P16</f>
        <v>0</v>
      </c>
      <c r="R16" s="17"/>
      <c r="S16" s="17">
        <f>Q16+R16</f>
        <v>0</v>
      </c>
      <c r="T16" s="17"/>
      <c r="U16" s="17">
        <f>S16+T16</f>
        <v>0</v>
      </c>
      <c r="V16" s="17"/>
      <c r="W16" s="17">
        <f>U16+V16</f>
        <v>0</v>
      </c>
      <c r="X16" s="17"/>
      <c r="Y16" s="17">
        <f>W16+X16</f>
        <v>0</v>
      </c>
    </row>
    <row r="17" spans="1:25" x14ac:dyDescent="0.25">
      <c r="A17" s="60" t="s">
        <v>1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x14ac:dyDescent="0.25">
      <c r="A18" s="19" t="s">
        <v>24</v>
      </c>
      <c r="B18" s="20"/>
      <c r="C18" s="21">
        <f>SUM(C19:C20)</f>
        <v>0</v>
      </c>
      <c r="D18" s="21">
        <f t="shared" ref="D18:Y18" si="21">SUM(D19:D20)</f>
        <v>0</v>
      </c>
      <c r="E18" s="21">
        <f t="shared" si="21"/>
        <v>0</v>
      </c>
      <c r="F18" s="21">
        <f t="shared" si="21"/>
        <v>0</v>
      </c>
      <c r="G18" s="21">
        <f t="shared" si="21"/>
        <v>0</v>
      </c>
      <c r="H18" s="21">
        <f t="shared" si="21"/>
        <v>0</v>
      </c>
      <c r="I18" s="21">
        <f t="shared" si="21"/>
        <v>0</v>
      </c>
      <c r="J18" s="21">
        <f t="shared" si="21"/>
        <v>0</v>
      </c>
      <c r="K18" s="21">
        <f t="shared" si="21"/>
        <v>0</v>
      </c>
      <c r="L18" s="21">
        <f t="shared" si="21"/>
        <v>0</v>
      </c>
      <c r="M18" s="21">
        <f t="shared" si="21"/>
        <v>0</v>
      </c>
      <c r="N18" s="21">
        <f t="shared" si="21"/>
        <v>0</v>
      </c>
      <c r="O18" s="21">
        <f t="shared" si="21"/>
        <v>0</v>
      </c>
      <c r="P18" s="21">
        <f t="shared" si="21"/>
        <v>0</v>
      </c>
      <c r="Q18" s="21">
        <f t="shared" si="21"/>
        <v>0</v>
      </c>
      <c r="R18" s="21">
        <f t="shared" si="21"/>
        <v>0</v>
      </c>
      <c r="S18" s="21">
        <f t="shared" si="21"/>
        <v>0</v>
      </c>
      <c r="T18" s="21">
        <f t="shared" si="21"/>
        <v>0</v>
      </c>
      <c r="U18" s="21">
        <f t="shared" si="21"/>
        <v>0</v>
      </c>
      <c r="V18" s="21">
        <f t="shared" si="21"/>
        <v>0</v>
      </c>
      <c r="W18" s="21">
        <f t="shared" si="21"/>
        <v>0</v>
      </c>
      <c r="X18" s="21">
        <f t="shared" si="21"/>
        <v>0</v>
      </c>
      <c r="Y18" s="21">
        <f t="shared" si="21"/>
        <v>0</v>
      </c>
    </row>
    <row r="19" spans="1:25" x14ac:dyDescent="0.25">
      <c r="A19" s="15"/>
      <c r="B19" s="15"/>
      <c r="C19" s="16"/>
      <c r="D19" s="15"/>
      <c r="E19" s="16">
        <f>C19+D19</f>
        <v>0</v>
      </c>
      <c r="F19" s="15"/>
      <c r="G19" s="16">
        <f>E19+F19</f>
        <v>0</v>
      </c>
      <c r="H19" s="15"/>
      <c r="I19" s="16">
        <f>G19+H19</f>
        <v>0</v>
      </c>
      <c r="J19" s="15"/>
      <c r="K19" s="16">
        <f>I19+J19</f>
        <v>0</v>
      </c>
      <c r="L19" s="16"/>
      <c r="M19" s="16">
        <f>K19+L19</f>
        <v>0</v>
      </c>
      <c r="N19" s="15"/>
      <c r="O19" s="16">
        <f>M19+N19</f>
        <v>0</v>
      </c>
      <c r="P19" s="15"/>
      <c r="Q19" s="16">
        <f>O19+P19</f>
        <v>0</v>
      </c>
      <c r="R19" s="15"/>
      <c r="S19" s="16">
        <f>Q19+R19</f>
        <v>0</v>
      </c>
      <c r="T19" s="15"/>
      <c r="U19" s="16">
        <f>S19+T19</f>
        <v>0</v>
      </c>
      <c r="V19" s="15"/>
      <c r="W19" s="16">
        <f>U19+V19</f>
        <v>0</v>
      </c>
      <c r="X19" s="15"/>
      <c r="Y19" s="16">
        <f>W19+X19</f>
        <v>0</v>
      </c>
    </row>
    <row r="20" spans="1:25" x14ac:dyDescent="0.25">
      <c r="A20" s="15"/>
      <c r="B20" s="15"/>
      <c r="C20" s="15"/>
      <c r="D20" s="15"/>
      <c r="E20" s="16">
        <f>C20+D20</f>
        <v>0</v>
      </c>
      <c r="F20" s="15"/>
      <c r="G20" s="16">
        <f>E20+F20</f>
        <v>0</v>
      </c>
      <c r="H20" s="16"/>
      <c r="I20" s="16">
        <f>G20+H20</f>
        <v>0</v>
      </c>
      <c r="J20" s="16"/>
      <c r="K20" s="16">
        <f>I20+J20</f>
        <v>0</v>
      </c>
      <c r="L20" s="16"/>
      <c r="M20" s="16">
        <f>K20+L20</f>
        <v>0</v>
      </c>
      <c r="N20" s="16"/>
      <c r="O20" s="16">
        <f>M20+N20</f>
        <v>0</v>
      </c>
      <c r="P20" s="16"/>
      <c r="Q20" s="16">
        <f>O20+P20</f>
        <v>0</v>
      </c>
      <c r="R20" s="16"/>
      <c r="S20" s="16">
        <f>Q20+R20</f>
        <v>0</v>
      </c>
      <c r="T20" s="16"/>
      <c r="U20" s="16">
        <f>S20+T20</f>
        <v>0</v>
      </c>
      <c r="V20" s="16"/>
      <c r="W20" s="16">
        <f>U20+V20</f>
        <v>0</v>
      </c>
      <c r="X20" s="16"/>
      <c r="Y20" s="16">
        <f>W20+X20</f>
        <v>0</v>
      </c>
    </row>
    <row r="21" spans="1:25" x14ac:dyDescent="0.25">
      <c r="A21" s="63" t="s">
        <v>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5"/>
    </row>
    <row r="22" spans="1:25" x14ac:dyDescent="0.25">
      <c r="A22" s="22" t="s">
        <v>25</v>
      </c>
      <c r="B22" s="23"/>
      <c r="C22" s="50">
        <f>SUM(C23:C24)</f>
        <v>73345</v>
      </c>
      <c r="D22" s="50">
        <f>SUM(D23:D24)</f>
        <v>253496.11</v>
      </c>
      <c r="E22" s="50">
        <f t="shared" ref="E22" si="22">C22+D22</f>
        <v>326841.11</v>
      </c>
      <c r="F22" s="50">
        <f>SUM(F23:F24)</f>
        <v>225224.5</v>
      </c>
      <c r="G22" s="50">
        <f t="shared" ref="G22" si="23">E22+F22</f>
        <v>552065.61</v>
      </c>
      <c r="H22" s="50">
        <f>SUM(H23:H24)</f>
        <v>235743.8</v>
      </c>
      <c r="I22" s="50">
        <f t="shared" ref="I22" si="24">G22+H22</f>
        <v>787809.40999999992</v>
      </c>
      <c r="J22" s="50">
        <f>SUM(J23:J24)</f>
        <v>191203.84</v>
      </c>
      <c r="K22" s="50">
        <f t="shared" ref="K22" si="25">I22+J22</f>
        <v>979013.24999999988</v>
      </c>
      <c r="L22" s="50">
        <f>SUM(L23:L24)</f>
        <v>271513.55000000005</v>
      </c>
      <c r="M22" s="50">
        <f t="shared" ref="M22" si="26">K22+L22</f>
        <v>1250526.7999999998</v>
      </c>
      <c r="N22" s="50">
        <f>SUM(N23:N24)</f>
        <v>291369.84000000003</v>
      </c>
      <c r="O22" s="50">
        <f t="shared" ref="O22" si="27">M22+N22</f>
        <v>1541896.64</v>
      </c>
      <c r="P22" s="50">
        <f>SUM(P23:P24)</f>
        <v>156928.91999999998</v>
      </c>
      <c r="Q22" s="50">
        <f t="shared" ref="Q22" si="28">O22+P22</f>
        <v>1698825.5599999998</v>
      </c>
      <c r="R22" s="50">
        <f>SUM(R23:R24)</f>
        <v>200322.53</v>
      </c>
      <c r="S22" s="50">
        <f t="shared" ref="S22" si="29">Q22+R22</f>
        <v>1899148.0899999999</v>
      </c>
      <c r="T22" s="50">
        <f>SUM(T23:T24)</f>
        <v>0</v>
      </c>
      <c r="U22" s="50">
        <f t="shared" ref="U22" si="30">S22+T22</f>
        <v>1899148.0899999999</v>
      </c>
      <c r="V22" s="50">
        <f>SUM(V23:V24)</f>
        <v>0</v>
      </c>
      <c r="W22" s="50">
        <f t="shared" ref="W22" si="31">U22+V22</f>
        <v>1899148.0899999999</v>
      </c>
      <c r="X22" s="50">
        <f>SUM(X23:X24)</f>
        <v>0</v>
      </c>
      <c r="Y22" s="50">
        <f>SUM(Y23:Y24)</f>
        <v>1899148.09</v>
      </c>
    </row>
    <row r="23" spans="1:25" x14ac:dyDescent="0.25">
      <c r="A23" s="15" t="s">
        <v>18</v>
      </c>
      <c r="B23" s="15">
        <v>211</v>
      </c>
      <c r="C23" s="48">
        <v>73345</v>
      </c>
      <c r="D23" s="48">
        <v>191535.05</v>
      </c>
      <c r="E23" s="48">
        <f>C23+D23</f>
        <v>264880.05</v>
      </c>
      <c r="F23" s="48">
        <f>11968+80294.23+4256+31281.94+45600+5928</f>
        <v>179328.16999999998</v>
      </c>
      <c r="G23" s="48">
        <f>E23+F23</f>
        <v>444208.22</v>
      </c>
      <c r="H23" s="48">
        <f>72336.36+11068+5142.88+769+10000+72996.14</f>
        <v>172312.38</v>
      </c>
      <c r="I23" s="48">
        <f>G23+H23</f>
        <v>616520.6</v>
      </c>
      <c r="J23" s="48">
        <f>9840+63679.99+1542.46+1542.46+9242.27+1381+6500+50000+389+2600.65</f>
        <v>146717.82999999999</v>
      </c>
      <c r="K23" s="48">
        <f>I23+J23</f>
        <v>763238.42999999993</v>
      </c>
      <c r="L23" s="48">
        <f>705.98+3023.24+21820+144210.69+1900+6821+49494.17</f>
        <v>227975.08000000002</v>
      </c>
      <c r="M23" s="48">
        <f>K23+L23</f>
        <v>991213.51</v>
      </c>
      <c r="N23" s="48">
        <f>5421+39079+3937.61+17388+115079.64+1268+8484.76+3835+29632.7</f>
        <v>224125.71000000002</v>
      </c>
      <c r="O23" s="48">
        <f>M23+N23</f>
        <v>1215339.22</v>
      </c>
      <c r="P23" s="48">
        <f>913.74+1890.27+6954+44139.08+5538+42600</f>
        <v>102035.09</v>
      </c>
      <c r="Q23" s="48">
        <f>O23+P23</f>
        <v>1317374.31</v>
      </c>
      <c r="R23" s="48">
        <f>86.26+11233+77953.16+60365.32+8697+4500</f>
        <v>162834.74</v>
      </c>
      <c r="S23" s="48">
        <f>Q23+R23</f>
        <v>1480209.05</v>
      </c>
      <c r="T23" s="48"/>
      <c r="U23" s="48">
        <f>T23+S23</f>
        <v>1480209.05</v>
      </c>
      <c r="V23" s="48"/>
      <c r="W23" s="48">
        <f>U23+V23</f>
        <v>1480209.05</v>
      </c>
      <c r="X23" s="48"/>
      <c r="Y23" s="48">
        <f>W23+X23</f>
        <v>1480209.05</v>
      </c>
    </row>
    <row r="24" spans="1:25" x14ac:dyDescent="0.25">
      <c r="A24" s="15" t="s">
        <v>20</v>
      </c>
      <c r="B24" s="15">
        <v>213</v>
      </c>
      <c r="C24" s="48"/>
      <c r="D24" s="48">
        <v>61961.06</v>
      </c>
      <c r="E24" s="48">
        <f>C24+D24</f>
        <v>61961.06</v>
      </c>
      <c r="F24" s="48">
        <f>312.4+4437.26+7876.46+33270.21</f>
        <v>45896.33</v>
      </c>
      <c r="G24" s="48">
        <f>E24+F24</f>
        <v>107857.39</v>
      </c>
      <c r="H24" s="48">
        <f>340.94+4943.63+8693.98+37503.45+1554+10395.42</f>
        <v>63431.42</v>
      </c>
      <c r="I24" s="48">
        <f>G24+H24</f>
        <v>171288.81</v>
      </c>
      <c r="J24" s="48">
        <f>325.9+8310.57+35849.54</f>
        <v>44486.01</v>
      </c>
      <c r="K24" s="48">
        <f>I24+J24</f>
        <v>215774.82</v>
      </c>
      <c r="L24" s="48">
        <f>315.64+8048.83+35174</f>
        <v>43538.47</v>
      </c>
      <c r="M24" s="48">
        <f>K24+L24</f>
        <v>259313.29</v>
      </c>
      <c r="N24" s="48">
        <f>440.04+3733.67+11221.12+47951.3+349+3549</f>
        <v>67244.13</v>
      </c>
      <c r="O24" s="48">
        <f>M24+N24</f>
        <v>326557.42000000004</v>
      </c>
      <c r="P24" s="48">
        <f>354+382.16+2374.6+9745.15+42037.92</f>
        <v>54893.83</v>
      </c>
      <c r="Q24" s="48">
        <f>O24+P24</f>
        <v>381451.25000000006</v>
      </c>
      <c r="R24" s="48">
        <f>255.45+2618.7+6514.01+28099.63</f>
        <v>37487.79</v>
      </c>
      <c r="S24" s="48">
        <f>Q24+R24</f>
        <v>418939.04000000004</v>
      </c>
      <c r="T24" s="48"/>
      <c r="U24" s="48">
        <f>T24+S24</f>
        <v>418939.04000000004</v>
      </c>
      <c r="V24" s="48"/>
      <c r="W24" s="48">
        <f>U24+V24</f>
        <v>418939.04000000004</v>
      </c>
      <c r="X24" s="48"/>
      <c r="Y24" s="48">
        <f>W24+X24</f>
        <v>418939.04000000004</v>
      </c>
    </row>
    <row r="25" spans="1:25" x14ac:dyDescent="0.25">
      <c r="A25" s="63" t="s">
        <v>1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</row>
    <row r="26" spans="1:25" x14ac:dyDescent="0.25">
      <c r="A26" s="22" t="s">
        <v>26</v>
      </c>
      <c r="B26" s="23"/>
      <c r="C26" s="50">
        <f>SUM(C27:C28)</f>
        <v>0</v>
      </c>
      <c r="D26" s="50">
        <f t="shared" ref="D26:Y26" si="32">SUM(D27:D28)</f>
        <v>2562</v>
      </c>
      <c r="E26" s="50">
        <f t="shared" si="32"/>
        <v>2562</v>
      </c>
      <c r="F26" s="50">
        <f t="shared" si="32"/>
        <v>2300</v>
      </c>
      <c r="G26" s="50">
        <f t="shared" si="32"/>
        <v>4862</v>
      </c>
      <c r="H26" s="50">
        <f t="shared" si="32"/>
        <v>0</v>
      </c>
      <c r="I26" s="50">
        <f t="shared" si="32"/>
        <v>4862</v>
      </c>
      <c r="J26" s="50">
        <f t="shared" si="32"/>
        <v>2300</v>
      </c>
      <c r="K26" s="50">
        <f t="shared" si="32"/>
        <v>7162</v>
      </c>
      <c r="L26" s="50">
        <f t="shared" si="32"/>
        <v>0</v>
      </c>
      <c r="M26" s="50">
        <f t="shared" si="32"/>
        <v>7162</v>
      </c>
      <c r="N26" s="50">
        <f t="shared" si="32"/>
        <v>0</v>
      </c>
      <c r="O26" s="50">
        <f t="shared" si="32"/>
        <v>7162</v>
      </c>
      <c r="P26" s="50">
        <f t="shared" si="32"/>
        <v>0</v>
      </c>
      <c r="Q26" s="50">
        <f t="shared" si="32"/>
        <v>7162</v>
      </c>
      <c r="R26" s="50">
        <f t="shared" si="32"/>
        <v>0</v>
      </c>
      <c r="S26" s="50">
        <f t="shared" si="32"/>
        <v>7162</v>
      </c>
      <c r="T26" s="50">
        <f t="shared" si="32"/>
        <v>0</v>
      </c>
      <c r="U26" s="50">
        <f t="shared" si="32"/>
        <v>7162</v>
      </c>
      <c r="V26" s="50">
        <f t="shared" si="32"/>
        <v>0</v>
      </c>
      <c r="W26" s="50">
        <f t="shared" si="32"/>
        <v>7162</v>
      </c>
      <c r="X26" s="50">
        <f t="shared" si="32"/>
        <v>0</v>
      </c>
      <c r="Y26" s="50">
        <f t="shared" si="32"/>
        <v>7162</v>
      </c>
    </row>
    <row r="27" spans="1:25" x14ac:dyDescent="0.25">
      <c r="A27" s="25" t="s">
        <v>19</v>
      </c>
      <c r="B27" s="25">
        <v>212</v>
      </c>
      <c r="C27" s="51"/>
      <c r="D27" s="51"/>
      <c r="E27" s="51">
        <f>C27+D27</f>
        <v>0</v>
      </c>
      <c r="F27" s="51">
        <v>600</v>
      </c>
      <c r="G27" s="51">
        <f>E27+F27</f>
        <v>600</v>
      </c>
      <c r="H27" s="51"/>
      <c r="I27" s="51">
        <f>G27+H27</f>
        <v>600</v>
      </c>
      <c r="J27" s="51">
        <f>600</f>
        <v>600</v>
      </c>
      <c r="K27" s="51">
        <f>J27+I27</f>
        <v>1200</v>
      </c>
      <c r="L27" s="51"/>
      <c r="M27" s="51">
        <f>K27+L27</f>
        <v>1200</v>
      </c>
      <c r="N27" s="51"/>
      <c r="O27" s="51">
        <f>M27+N27</f>
        <v>1200</v>
      </c>
      <c r="P27" s="51"/>
      <c r="Q27" s="51">
        <f>O27+P27</f>
        <v>1200</v>
      </c>
      <c r="R27" s="51"/>
      <c r="S27" s="51">
        <f>Q27+R27</f>
        <v>1200</v>
      </c>
      <c r="T27" s="51"/>
      <c r="U27" s="51">
        <f>S27+T27</f>
        <v>1200</v>
      </c>
      <c r="V27" s="51"/>
      <c r="W27" s="51">
        <f>U27+V27</f>
        <v>1200</v>
      </c>
      <c r="X27" s="51"/>
      <c r="Y27" s="51">
        <f>W27+X27</f>
        <v>1200</v>
      </c>
    </row>
    <row r="28" spans="1:25" x14ac:dyDescent="0.25">
      <c r="A28" s="15" t="s">
        <v>28</v>
      </c>
      <c r="B28" s="15">
        <v>222</v>
      </c>
      <c r="C28" s="48"/>
      <c r="D28" s="48">
        <v>2562</v>
      </c>
      <c r="E28" s="51">
        <f>C28+D28</f>
        <v>2562</v>
      </c>
      <c r="F28" s="48">
        <v>1700</v>
      </c>
      <c r="G28" s="51">
        <f>E28+F28</f>
        <v>4262</v>
      </c>
      <c r="H28" s="48"/>
      <c r="I28" s="51">
        <f>G28+H28</f>
        <v>4262</v>
      </c>
      <c r="J28" s="48">
        <v>1700</v>
      </c>
      <c r="K28" s="51">
        <f>J28+I28</f>
        <v>5962</v>
      </c>
      <c r="L28" s="48"/>
      <c r="M28" s="51">
        <f>K28+L28</f>
        <v>5962</v>
      </c>
      <c r="N28" s="48"/>
      <c r="O28" s="51">
        <f>M28+N28</f>
        <v>5962</v>
      </c>
      <c r="P28" s="48"/>
      <c r="Q28" s="51">
        <f>O28+P28</f>
        <v>5962</v>
      </c>
      <c r="R28" s="48"/>
      <c r="S28" s="51">
        <f>Q28+R28</f>
        <v>5962</v>
      </c>
      <c r="T28" s="48"/>
      <c r="U28" s="51">
        <f>S28+T28</f>
        <v>5962</v>
      </c>
      <c r="V28" s="48"/>
      <c r="W28" s="51">
        <f>U28+V28</f>
        <v>5962</v>
      </c>
      <c r="X28" s="48"/>
      <c r="Y28" s="51">
        <f>W28+X28</f>
        <v>5962</v>
      </c>
    </row>
    <row r="29" spans="1:25" x14ac:dyDescent="0.25">
      <c r="A29" s="63" t="s">
        <v>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5"/>
    </row>
    <row r="30" spans="1:25" x14ac:dyDescent="0.25">
      <c r="A30" s="22" t="s">
        <v>27</v>
      </c>
      <c r="B30" s="23"/>
      <c r="C30" s="50">
        <f>C31+C33+C41+C47+C58+C39</f>
        <v>28455.16</v>
      </c>
      <c r="D30" s="50">
        <f t="shared" ref="D30:Y30" si="33">D31+D33+D41+D47+D58+D39</f>
        <v>83758.34</v>
      </c>
      <c r="E30" s="50">
        <f t="shared" si="33"/>
        <v>112213.5</v>
      </c>
      <c r="F30" s="50">
        <f t="shared" si="33"/>
        <v>84740.03</v>
      </c>
      <c r="G30" s="50">
        <f t="shared" si="33"/>
        <v>196953.52999999997</v>
      </c>
      <c r="H30" s="50">
        <f t="shared" si="33"/>
        <v>66572.010000000009</v>
      </c>
      <c r="I30" s="50">
        <f t="shared" si="33"/>
        <v>263525.53999999998</v>
      </c>
      <c r="J30" s="50">
        <f t="shared" si="33"/>
        <v>39317.699999999997</v>
      </c>
      <c r="K30" s="50">
        <f t="shared" si="33"/>
        <v>302843.24</v>
      </c>
      <c r="L30" s="50">
        <f t="shared" si="33"/>
        <v>40366.410000000003</v>
      </c>
      <c r="M30" s="50">
        <f t="shared" si="33"/>
        <v>343209.64999999997</v>
      </c>
      <c r="N30" s="50">
        <f t="shared" si="33"/>
        <v>98317.9</v>
      </c>
      <c r="O30" s="50">
        <f t="shared" si="33"/>
        <v>441527.55</v>
      </c>
      <c r="P30" s="50">
        <f t="shared" si="33"/>
        <v>88603.28</v>
      </c>
      <c r="Q30" s="50">
        <f t="shared" si="33"/>
        <v>530130.82999999996</v>
      </c>
      <c r="R30" s="50">
        <f t="shared" si="33"/>
        <v>64899.420000000006</v>
      </c>
      <c r="S30" s="50">
        <f t="shared" si="33"/>
        <v>595030.25</v>
      </c>
      <c r="T30" s="50">
        <f t="shared" si="33"/>
        <v>0</v>
      </c>
      <c r="U30" s="50">
        <f t="shared" si="33"/>
        <v>595030.25</v>
      </c>
      <c r="V30" s="50">
        <f t="shared" si="33"/>
        <v>0</v>
      </c>
      <c r="W30" s="50">
        <f t="shared" si="33"/>
        <v>595030.25</v>
      </c>
      <c r="X30" s="50">
        <f t="shared" si="33"/>
        <v>0</v>
      </c>
      <c r="Y30" s="50">
        <f t="shared" si="33"/>
        <v>595030.25</v>
      </c>
    </row>
    <row r="31" spans="1:25" x14ac:dyDescent="0.25">
      <c r="A31" s="66" t="s">
        <v>58</v>
      </c>
      <c r="B31" s="65"/>
      <c r="C31" s="50">
        <f>C32</f>
        <v>0</v>
      </c>
      <c r="D31" s="50">
        <f t="shared" ref="D31:Y31" si="34">D32</f>
        <v>11477.029999999999</v>
      </c>
      <c r="E31" s="50">
        <f t="shared" si="34"/>
        <v>11477.029999999999</v>
      </c>
      <c r="F31" s="50">
        <f t="shared" si="34"/>
        <v>3565.92</v>
      </c>
      <c r="G31" s="50">
        <f t="shared" si="34"/>
        <v>15042.949999999999</v>
      </c>
      <c r="H31" s="50">
        <f t="shared" si="34"/>
        <v>6343.68</v>
      </c>
      <c r="I31" s="50">
        <f t="shared" si="34"/>
        <v>21386.629999999997</v>
      </c>
      <c r="J31" s="50">
        <f t="shared" si="34"/>
        <v>5375.31</v>
      </c>
      <c r="K31" s="50">
        <f t="shared" si="34"/>
        <v>26761.94</v>
      </c>
      <c r="L31" s="50">
        <f t="shared" si="34"/>
        <v>1413.6</v>
      </c>
      <c r="M31" s="50">
        <f t="shared" si="34"/>
        <v>28175.539999999997</v>
      </c>
      <c r="N31" s="50">
        <f t="shared" si="34"/>
        <v>5404.57</v>
      </c>
      <c r="O31" s="50">
        <f t="shared" si="34"/>
        <v>33580.11</v>
      </c>
      <c r="P31" s="50">
        <f t="shared" si="34"/>
        <v>6431.94</v>
      </c>
      <c r="Q31" s="50">
        <f t="shared" si="34"/>
        <v>40012.050000000003</v>
      </c>
      <c r="R31" s="50">
        <f t="shared" si="34"/>
        <v>4869.63</v>
      </c>
      <c r="S31" s="50">
        <f t="shared" si="34"/>
        <v>44881.68</v>
      </c>
      <c r="T31" s="50">
        <f t="shared" si="34"/>
        <v>0</v>
      </c>
      <c r="U31" s="50">
        <f t="shared" si="34"/>
        <v>44881.68</v>
      </c>
      <c r="V31" s="50">
        <f t="shared" si="34"/>
        <v>0</v>
      </c>
      <c r="W31" s="50">
        <f t="shared" si="34"/>
        <v>44881.68</v>
      </c>
      <c r="X31" s="50">
        <f t="shared" si="34"/>
        <v>0</v>
      </c>
      <c r="Y31" s="50">
        <f t="shared" si="34"/>
        <v>44881.68</v>
      </c>
    </row>
    <row r="32" spans="1:25" x14ac:dyDescent="0.25">
      <c r="A32" s="25" t="s">
        <v>145</v>
      </c>
      <c r="B32" s="25">
        <v>221</v>
      </c>
      <c r="C32" s="51"/>
      <c r="D32" s="51">
        <f>1.18+8.97+6466.88+5000</f>
        <v>11477.029999999999</v>
      </c>
      <c r="E32" s="51">
        <f>C32+D32</f>
        <v>11477.029999999999</v>
      </c>
      <c r="F32" s="51">
        <f>1.18+4.48+3560.26</f>
        <v>3565.92</v>
      </c>
      <c r="G32" s="51">
        <f>E32+F32</f>
        <v>15042.949999999999</v>
      </c>
      <c r="H32" s="51">
        <v>6343.68</v>
      </c>
      <c r="I32" s="51">
        <f>G32+H32</f>
        <v>21386.629999999997</v>
      </c>
      <c r="J32" s="51">
        <v>5375.31</v>
      </c>
      <c r="K32" s="51">
        <f>I32+J32</f>
        <v>26761.94</v>
      </c>
      <c r="L32" s="51">
        <v>1413.6</v>
      </c>
      <c r="M32" s="51">
        <f>K32+L32</f>
        <v>28175.539999999997</v>
      </c>
      <c r="N32" s="51">
        <v>5404.57</v>
      </c>
      <c r="O32" s="51">
        <f>M32+N32</f>
        <v>33580.11</v>
      </c>
      <c r="P32" s="51">
        <f>17.94+6414</f>
        <v>6431.94</v>
      </c>
      <c r="Q32" s="51">
        <f>O32+P32</f>
        <v>40012.050000000003</v>
      </c>
      <c r="R32" s="51">
        <f>28.79+4840.84</f>
        <v>4869.63</v>
      </c>
      <c r="S32" s="51">
        <f>Q32+R32</f>
        <v>44881.68</v>
      </c>
      <c r="T32" s="51"/>
      <c r="U32" s="51">
        <f>S32+T32</f>
        <v>44881.68</v>
      </c>
      <c r="V32" s="51"/>
      <c r="W32" s="51">
        <f>U32+V32</f>
        <v>44881.68</v>
      </c>
      <c r="X32" s="51"/>
      <c r="Y32" s="51">
        <f>W32+X32</f>
        <v>44881.68</v>
      </c>
    </row>
    <row r="33" spans="1:25" x14ac:dyDescent="0.25">
      <c r="A33" s="66" t="s">
        <v>54</v>
      </c>
      <c r="B33" s="65"/>
      <c r="C33" s="50">
        <f>SUM(C34:C38)</f>
        <v>2355.16</v>
      </c>
      <c r="D33" s="50">
        <f t="shared" ref="D33:X33" si="35">SUM(D34:D38)</f>
        <v>24933.809999999998</v>
      </c>
      <c r="E33" s="50">
        <f t="shared" ref="E33:E64" si="36">C33+D33</f>
        <v>27288.969999999998</v>
      </c>
      <c r="F33" s="50">
        <f t="shared" si="35"/>
        <v>22867.91</v>
      </c>
      <c r="G33" s="50">
        <f t="shared" ref="G33:G64" si="37">E33+F33</f>
        <v>50156.88</v>
      </c>
      <c r="H33" s="50">
        <f t="shared" si="35"/>
        <v>20071.7</v>
      </c>
      <c r="I33" s="50">
        <f t="shared" ref="I33:I64" si="38">G33+H33</f>
        <v>70228.58</v>
      </c>
      <c r="J33" s="50">
        <f t="shared" si="35"/>
        <v>15296.789999999999</v>
      </c>
      <c r="K33" s="50">
        <f t="shared" ref="K33:K64" si="39">I33+J33</f>
        <v>85525.37</v>
      </c>
      <c r="L33" s="50">
        <f t="shared" si="35"/>
        <v>11900.03</v>
      </c>
      <c r="M33" s="50">
        <f t="shared" ref="M33:M64" si="40">K33+L33</f>
        <v>97425.4</v>
      </c>
      <c r="N33" s="50">
        <f t="shared" si="35"/>
        <v>9175.0500000000011</v>
      </c>
      <c r="O33" s="50">
        <f t="shared" ref="O33:O64" si="41">M33+N33</f>
        <v>106600.45</v>
      </c>
      <c r="P33" s="50">
        <f t="shared" si="35"/>
        <v>11427.86</v>
      </c>
      <c r="Q33" s="50">
        <f t="shared" ref="Q33:Q64" si="42">O33+P33</f>
        <v>118028.31</v>
      </c>
      <c r="R33" s="50">
        <f t="shared" si="35"/>
        <v>11318.23</v>
      </c>
      <c r="S33" s="50">
        <f t="shared" ref="S33:S64" si="43">Q33+R33</f>
        <v>129346.54</v>
      </c>
      <c r="T33" s="50">
        <f t="shared" si="35"/>
        <v>0</v>
      </c>
      <c r="U33" s="50">
        <f t="shared" ref="U33:U64" si="44">S33+T33</f>
        <v>129346.54</v>
      </c>
      <c r="V33" s="50">
        <f t="shared" si="35"/>
        <v>0</v>
      </c>
      <c r="W33" s="50">
        <f t="shared" ref="W33:W64" si="45">U33+V33</f>
        <v>129346.54</v>
      </c>
      <c r="X33" s="50">
        <f t="shared" si="35"/>
        <v>0</v>
      </c>
      <c r="Y33" s="50">
        <f t="shared" ref="Y33:Y64" si="46">W33+X33</f>
        <v>129346.54</v>
      </c>
    </row>
    <row r="34" spans="1:25" x14ac:dyDescent="0.25">
      <c r="A34" s="15" t="s">
        <v>30</v>
      </c>
      <c r="B34" s="15">
        <v>223</v>
      </c>
      <c r="C34" s="48">
        <v>2355.16</v>
      </c>
      <c r="D34" s="48">
        <v>2753.4</v>
      </c>
      <c r="E34" s="51">
        <f t="shared" si="36"/>
        <v>5108.5599999999995</v>
      </c>
      <c r="F34" s="48">
        <v>2098.8200000000002</v>
      </c>
      <c r="G34" s="51">
        <f t="shared" si="37"/>
        <v>7207.3799999999992</v>
      </c>
      <c r="H34" s="48">
        <f>1945.72</f>
        <v>1945.72</v>
      </c>
      <c r="I34" s="51">
        <f t="shared" si="38"/>
        <v>9153.0999999999985</v>
      </c>
      <c r="J34" s="48">
        <f>172.91</f>
        <v>172.91</v>
      </c>
      <c r="K34" s="51">
        <f t="shared" si="39"/>
        <v>9326.0099999999984</v>
      </c>
      <c r="L34" s="48">
        <v>2619.69</v>
      </c>
      <c r="M34" s="51">
        <f t="shared" si="40"/>
        <v>11945.699999999999</v>
      </c>
      <c r="N34" s="48"/>
      <c r="O34" s="51">
        <f t="shared" si="41"/>
        <v>11945.699999999999</v>
      </c>
      <c r="P34" s="48">
        <f>1885.88</f>
        <v>1885.88</v>
      </c>
      <c r="Q34" s="51">
        <f t="shared" si="42"/>
        <v>13831.579999999998</v>
      </c>
      <c r="R34" s="48">
        <v>2213.34</v>
      </c>
      <c r="S34" s="51">
        <f t="shared" si="43"/>
        <v>16044.919999999998</v>
      </c>
      <c r="T34" s="48"/>
      <c r="U34" s="51">
        <f t="shared" si="44"/>
        <v>16044.919999999998</v>
      </c>
      <c r="V34" s="48"/>
      <c r="W34" s="51">
        <f t="shared" si="45"/>
        <v>16044.919999999998</v>
      </c>
      <c r="X34" s="48"/>
      <c r="Y34" s="51">
        <f t="shared" si="46"/>
        <v>16044.919999999998</v>
      </c>
    </row>
    <row r="35" spans="1:25" x14ac:dyDescent="0.25">
      <c r="A35" s="15" t="s">
        <v>70</v>
      </c>
      <c r="B35" s="15">
        <v>223</v>
      </c>
      <c r="C35" s="48"/>
      <c r="D35" s="48">
        <v>7840.57</v>
      </c>
      <c r="E35" s="51">
        <f t="shared" si="36"/>
        <v>7840.57</v>
      </c>
      <c r="F35" s="48">
        <v>7840.57</v>
      </c>
      <c r="G35" s="51">
        <f t="shared" si="37"/>
        <v>15681.14</v>
      </c>
      <c r="H35" s="48">
        <v>7090.57</v>
      </c>
      <c r="I35" s="51">
        <f t="shared" si="38"/>
        <v>22771.71</v>
      </c>
      <c r="J35" s="48">
        <f>7840.57</f>
        <v>7840.57</v>
      </c>
      <c r="K35" s="51">
        <f t="shared" si="39"/>
        <v>30612.28</v>
      </c>
      <c r="L35" s="48">
        <v>7090.57</v>
      </c>
      <c r="M35" s="51">
        <f t="shared" si="40"/>
        <v>37702.85</v>
      </c>
      <c r="N35" s="48">
        <v>7840.57</v>
      </c>
      <c r="O35" s="51">
        <f t="shared" si="41"/>
        <v>45543.42</v>
      </c>
      <c r="P35" s="48">
        <v>8201.24</v>
      </c>
      <c r="Q35" s="51">
        <f t="shared" si="42"/>
        <v>53744.659999999996</v>
      </c>
      <c r="R35" s="48">
        <v>8201.24</v>
      </c>
      <c r="S35" s="51">
        <f t="shared" si="43"/>
        <v>61945.899999999994</v>
      </c>
      <c r="T35" s="48"/>
      <c r="U35" s="51">
        <f t="shared" si="44"/>
        <v>61945.899999999994</v>
      </c>
      <c r="V35" s="48"/>
      <c r="W35" s="51">
        <f t="shared" si="45"/>
        <v>61945.899999999994</v>
      </c>
      <c r="X35" s="48"/>
      <c r="Y35" s="51">
        <f t="shared" si="46"/>
        <v>61945.899999999994</v>
      </c>
    </row>
    <row r="36" spans="1:25" x14ac:dyDescent="0.25">
      <c r="A36" s="15" t="s">
        <v>73</v>
      </c>
      <c r="B36" s="15">
        <v>223</v>
      </c>
      <c r="C36" s="48"/>
      <c r="D36" s="48">
        <v>13172.15</v>
      </c>
      <c r="E36" s="51">
        <f t="shared" si="36"/>
        <v>13172.15</v>
      </c>
      <c r="F36" s="48">
        <v>11760.86</v>
      </c>
      <c r="G36" s="51">
        <f t="shared" si="37"/>
        <v>24933.010000000002</v>
      </c>
      <c r="H36" s="48">
        <v>10192.75</v>
      </c>
      <c r="I36" s="51">
        <f t="shared" si="38"/>
        <v>35125.760000000002</v>
      </c>
      <c r="J36" s="48">
        <f>6115.65</f>
        <v>6115.65</v>
      </c>
      <c r="K36" s="51">
        <f t="shared" si="39"/>
        <v>41241.410000000003</v>
      </c>
      <c r="L36" s="48">
        <v>1724.92</v>
      </c>
      <c r="M36" s="51">
        <f t="shared" si="40"/>
        <v>42966.33</v>
      </c>
      <c r="N36" s="48"/>
      <c r="O36" s="51">
        <f t="shared" si="41"/>
        <v>42966.33</v>
      </c>
      <c r="P36" s="48"/>
      <c r="Q36" s="51">
        <f t="shared" si="42"/>
        <v>42966.33</v>
      </c>
      <c r="R36" s="48"/>
      <c r="S36" s="51">
        <f t="shared" si="43"/>
        <v>42966.33</v>
      </c>
      <c r="T36" s="48"/>
      <c r="U36" s="51">
        <f t="shared" si="44"/>
        <v>42966.33</v>
      </c>
      <c r="V36" s="48"/>
      <c r="W36" s="51">
        <f t="shared" si="45"/>
        <v>42966.33</v>
      </c>
      <c r="X36" s="48"/>
      <c r="Y36" s="51">
        <f t="shared" si="46"/>
        <v>42966.33</v>
      </c>
    </row>
    <row r="37" spans="1:25" x14ac:dyDescent="0.25">
      <c r="A37" s="15" t="s">
        <v>69</v>
      </c>
      <c r="B37" s="15">
        <v>223</v>
      </c>
      <c r="C37" s="48"/>
      <c r="D37" s="48">
        <v>1003.5</v>
      </c>
      <c r="E37" s="51">
        <f t="shared" si="36"/>
        <v>1003.5</v>
      </c>
      <c r="F37" s="48">
        <v>1003.5</v>
      </c>
      <c r="G37" s="51">
        <f t="shared" si="37"/>
        <v>2007</v>
      </c>
      <c r="H37" s="48">
        <v>678.5</v>
      </c>
      <c r="I37" s="51">
        <f t="shared" si="38"/>
        <v>2685.5</v>
      </c>
      <c r="J37" s="48">
        <f>1003.5</f>
        <v>1003.5</v>
      </c>
      <c r="K37" s="51">
        <f t="shared" si="39"/>
        <v>3689</v>
      </c>
      <c r="L37" s="48">
        <v>300.66000000000003</v>
      </c>
      <c r="M37" s="51">
        <f t="shared" si="40"/>
        <v>3989.66</v>
      </c>
      <c r="N37" s="48">
        <v>1170.29</v>
      </c>
      <c r="O37" s="51">
        <f t="shared" si="41"/>
        <v>5159.95</v>
      </c>
      <c r="P37" s="48">
        <v>1168.6300000000001</v>
      </c>
      <c r="Q37" s="51">
        <f t="shared" si="42"/>
        <v>6328.58</v>
      </c>
      <c r="R37" s="48">
        <v>731.54</v>
      </c>
      <c r="S37" s="51">
        <f t="shared" si="43"/>
        <v>7060.12</v>
      </c>
      <c r="T37" s="48"/>
      <c r="U37" s="51">
        <f t="shared" si="44"/>
        <v>7060.12</v>
      </c>
      <c r="V37" s="48"/>
      <c r="W37" s="51">
        <f t="shared" si="45"/>
        <v>7060.12</v>
      </c>
      <c r="X37" s="48"/>
      <c r="Y37" s="51">
        <f t="shared" si="46"/>
        <v>7060.12</v>
      </c>
    </row>
    <row r="38" spans="1:25" x14ac:dyDescent="0.25">
      <c r="A38" s="15" t="s">
        <v>68</v>
      </c>
      <c r="B38" s="15">
        <v>223</v>
      </c>
      <c r="C38" s="48"/>
      <c r="D38" s="48">
        <v>164.19</v>
      </c>
      <c r="E38" s="51">
        <f t="shared" si="36"/>
        <v>164.19</v>
      </c>
      <c r="F38" s="48">
        <v>164.16</v>
      </c>
      <c r="G38" s="51">
        <f t="shared" si="37"/>
        <v>328.35</v>
      </c>
      <c r="H38" s="48">
        <v>164.16</v>
      </c>
      <c r="I38" s="51">
        <f t="shared" si="38"/>
        <v>492.51</v>
      </c>
      <c r="J38" s="48">
        <f>164.16</f>
        <v>164.16</v>
      </c>
      <c r="K38" s="51">
        <f t="shared" si="39"/>
        <v>656.67</v>
      </c>
      <c r="L38" s="48">
        <v>164.19</v>
      </c>
      <c r="M38" s="51">
        <f t="shared" si="40"/>
        <v>820.8599999999999</v>
      </c>
      <c r="N38" s="48">
        <v>164.19</v>
      </c>
      <c r="O38" s="51">
        <f t="shared" si="41"/>
        <v>985.05</v>
      </c>
      <c r="P38" s="48">
        <v>172.11</v>
      </c>
      <c r="Q38" s="51">
        <f t="shared" si="42"/>
        <v>1157.1599999999999</v>
      </c>
      <c r="R38" s="48">
        <v>172.11</v>
      </c>
      <c r="S38" s="51">
        <f t="shared" si="43"/>
        <v>1329.27</v>
      </c>
      <c r="T38" s="48"/>
      <c r="U38" s="51">
        <f t="shared" si="44"/>
        <v>1329.27</v>
      </c>
      <c r="V38" s="48"/>
      <c r="W38" s="51">
        <f t="shared" si="45"/>
        <v>1329.27</v>
      </c>
      <c r="X38" s="48"/>
      <c r="Y38" s="51">
        <f t="shared" si="46"/>
        <v>1329.27</v>
      </c>
    </row>
    <row r="39" spans="1:25" x14ac:dyDescent="0.25">
      <c r="A39" s="66" t="s">
        <v>106</v>
      </c>
      <c r="B39" s="67"/>
      <c r="C39" s="50">
        <f>C40</f>
        <v>0</v>
      </c>
      <c r="D39" s="50">
        <f t="shared" ref="D39:Y39" si="47">D40</f>
        <v>0</v>
      </c>
      <c r="E39" s="50">
        <f t="shared" si="47"/>
        <v>0</v>
      </c>
      <c r="F39" s="50">
        <f t="shared" si="47"/>
        <v>0</v>
      </c>
      <c r="G39" s="50">
        <f t="shared" si="47"/>
        <v>0</v>
      </c>
      <c r="H39" s="50">
        <f t="shared" si="47"/>
        <v>0</v>
      </c>
      <c r="I39" s="50">
        <f t="shared" si="47"/>
        <v>0</v>
      </c>
      <c r="J39" s="50">
        <f t="shared" si="47"/>
        <v>0</v>
      </c>
      <c r="K39" s="50">
        <f t="shared" si="47"/>
        <v>0</v>
      </c>
      <c r="L39" s="50">
        <f t="shared" si="47"/>
        <v>3.54</v>
      </c>
      <c r="M39" s="50">
        <f t="shared" si="47"/>
        <v>3.54</v>
      </c>
      <c r="N39" s="50">
        <f t="shared" si="47"/>
        <v>1.18</v>
      </c>
      <c r="O39" s="50">
        <f t="shared" si="47"/>
        <v>4.72</v>
      </c>
      <c r="P39" s="50">
        <f t="shared" si="47"/>
        <v>1.18</v>
      </c>
      <c r="Q39" s="50">
        <f t="shared" si="47"/>
        <v>5.8999999999999995</v>
      </c>
      <c r="R39" s="50">
        <f t="shared" si="47"/>
        <v>1.18</v>
      </c>
      <c r="S39" s="50">
        <f t="shared" si="47"/>
        <v>7.0799999999999992</v>
      </c>
      <c r="T39" s="50">
        <f t="shared" si="47"/>
        <v>0</v>
      </c>
      <c r="U39" s="50">
        <f t="shared" si="47"/>
        <v>7.0799999999999992</v>
      </c>
      <c r="V39" s="50">
        <f t="shared" si="47"/>
        <v>0</v>
      </c>
      <c r="W39" s="50">
        <f t="shared" si="47"/>
        <v>7.0799999999999992</v>
      </c>
      <c r="X39" s="50">
        <f t="shared" si="47"/>
        <v>0</v>
      </c>
      <c r="Y39" s="50">
        <f t="shared" si="47"/>
        <v>7.0799999999999992</v>
      </c>
    </row>
    <row r="40" spans="1:25" x14ac:dyDescent="0.25">
      <c r="A40" s="25" t="s">
        <v>107</v>
      </c>
      <c r="B40" s="25">
        <v>224</v>
      </c>
      <c r="C40" s="51"/>
      <c r="D40" s="51"/>
      <c r="E40" s="51">
        <f>C40+D40</f>
        <v>0</v>
      </c>
      <c r="F40" s="51"/>
      <c r="G40" s="51">
        <f>E40+F40</f>
        <v>0</v>
      </c>
      <c r="H40" s="51"/>
      <c r="I40" s="51">
        <f>G40+H40</f>
        <v>0</v>
      </c>
      <c r="J40" s="51"/>
      <c r="K40" s="51">
        <f>I40+J40</f>
        <v>0</v>
      </c>
      <c r="L40" s="51">
        <f>1.18+1.18+1.18</f>
        <v>3.54</v>
      </c>
      <c r="M40" s="51">
        <f>K40+L40</f>
        <v>3.54</v>
      </c>
      <c r="N40" s="51">
        <v>1.18</v>
      </c>
      <c r="O40" s="51">
        <f>M40+N40</f>
        <v>4.72</v>
      </c>
      <c r="P40" s="51">
        <v>1.18</v>
      </c>
      <c r="Q40" s="51">
        <f>O40+P40</f>
        <v>5.8999999999999995</v>
      </c>
      <c r="R40" s="51">
        <v>1.18</v>
      </c>
      <c r="S40" s="51">
        <f>Q40+R40</f>
        <v>7.0799999999999992</v>
      </c>
      <c r="T40" s="51"/>
      <c r="U40" s="51">
        <f>S40+T40</f>
        <v>7.0799999999999992</v>
      </c>
      <c r="V40" s="51"/>
      <c r="W40" s="51">
        <f>U40+V40</f>
        <v>7.0799999999999992</v>
      </c>
      <c r="X40" s="51"/>
      <c r="Y40" s="51">
        <f>W40+X40</f>
        <v>7.0799999999999992</v>
      </c>
    </row>
    <row r="41" spans="1:25" x14ac:dyDescent="0.25">
      <c r="A41" s="66" t="s">
        <v>55</v>
      </c>
      <c r="B41" s="67"/>
      <c r="C41" s="50">
        <f>SUM(C42:C46)</f>
        <v>0</v>
      </c>
      <c r="D41" s="50">
        <f t="shared" ref="D41:Y41" si="48">SUM(D42:D46)</f>
        <v>2654.7</v>
      </c>
      <c r="E41" s="50">
        <f t="shared" si="48"/>
        <v>2654.7</v>
      </c>
      <c r="F41" s="50">
        <f t="shared" si="48"/>
        <v>1854.7</v>
      </c>
      <c r="G41" s="50">
        <f t="shared" si="48"/>
        <v>4509.3999999999996</v>
      </c>
      <c r="H41" s="50">
        <f t="shared" si="48"/>
        <v>1854.7</v>
      </c>
      <c r="I41" s="50">
        <f t="shared" si="48"/>
        <v>6364.1</v>
      </c>
      <c r="J41" s="50">
        <f t="shared" si="48"/>
        <v>5284.7</v>
      </c>
      <c r="K41" s="50">
        <f t="shared" si="48"/>
        <v>11648.8</v>
      </c>
      <c r="L41" s="50">
        <f t="shared" si="48"/>
        <v>5194.7</v>
      </c>
      <c r="M41" s="50">
        <f t="shared" si="48"/>
        <v>16843.5</v>
      </c>
      <c r="N41" s="50">
        <f t="shared" si="48"/>
        <v>1854.7</v>
      </c>
      <c r="O41" s="50">
        <f t="shared" si="48"/>
        <v>18698.2</v>
      </c>
      <c r="P41" s="50">
        <f t="shared" si="48"/>
        <v>11625.7</v>
      </c>
      <c r="Q41" s="50">
        <f t="shared" si="48"/>
        <v>30323.9</v>
      </c>
      <c r="R41" s="50">
        <f t="shared" si="48"/>
        <v>1633.98</v>
      </c>
      <c r="S41" s="50">
        <f t="shared" si="48"/>
        <v>31957.879999999997</v>
      </c>
      <c r="T41" s="50">
        <f t="shared" si="48"/>
        <v>0</v>
      </c>
      <c r="U41" s="50">
        <f t="shared" si="48"/>
        <v>31957.879999999997</v>
      </c>
      <c r="V41" s="50">
        <f t="shared" si="48"/>
        <v>0</v>
      </c>
      <c r="W41" s="50">
        <f t="shared" si="48"/>
        <v>31957.879999999997</v>
      </c>
      <c r="X41" s="50">
        <f t="shared" si="48"/>
        <v>0</v>
      </c>
      <c r="Y41" s="50">
        <f t="shared" si="48"/>
        <v>31957.879999999997</v>
      </c>
    </row>
    <row r="42" spans="1:25" x14ac:dyDescent="0.25">
      <c r="A42" s="15" t="s">
        <v>36</v>
      </c>
      <c r="B42" s="15">
        <v>225</v>
      </c>
      <c r="C42" s="48"/>
      <c r="D42" s="48">
        <v>232.32</v>
      </c>
      <c r="E42" s="51">
        <f t="shared" si="36"/>
        <v>232.32</v>
      </c>
      <c r="F42" s="48">
        <v>232.32</v>
      </c>
      <c r="G42" s="51">
        <f t="shared" si="37"/>
        <v>464.64</v>
      </c>
      <c r="H42" s="48">
        <v>232.32</v>
      </c>
      <c r="I42" s="51">
        <f t="shared" si="38"/>
        <v>696.96</v>
      </c>
      <c r="J42" s="48">
        <v>232.32</v>
      </c>
      <c r="K42" s="51">
        <f t="shared" si="39"/>
        <v>929.28</v>
      </c>
      <c r="L42" s="48">
        <v>232.32</v>
      </c>
      <c r="M42" s="51">
        <f t="shared" si="40"/>
        <v>1161.5999999999999</v>
      </c>
      <c r="N42" s="48">
        <v>232.32</v>
      </c>
      <c r="O42" s="51">
        <f t="shared" si="41"/>
        <v>1393.9199999999998</v>
      </c>
      <c r="P42" s="48">
        <v>232.32</v>
      </c>
      <c r="Q42" s="51">
        <f t="shared" si="42"/>
        <v>1626.2399999999998</v>
      </c>
      <c r="R42" s="48">
        <v>232.32</v>
      </c>
      <c r="S42" s="51">
        <f t="shared" si="43"/>
        <v>1858.5599999999997</v>
      </c>
      <c r="T42" s="48"/>
      <c r="U42" s="51">
        <f t="shared" si="44"/>
        <v>1858.5599999999997</v>
      </c>
      <c r="V42" s="48"/>
      <c r="W42" s="51">
        <f t="shared" si="45"/>
        <v>1858.5599999999997</v>
      </c>
      <c r="X42" s="48"/>
      <c r="Y42" s="51">
        <f t="shared" si="46"/>
        <v>1858.5599999999997</v>
      </c>
    </row>
    <row r="43" spans="1:25" x14ac:dyDescent="0.25">
      <c r="A43" s="15" t="s">
        <v>37</v>
      </c>
      <c r="B43" s="15">
        <v>225</v>
      </c>
      <c r="C43" s="48"/>
      <c r="D43" s="48">
        <v>348.48</v>
      </c>
      <c r="E43" s="51">
        <f t="shared" si="36"/>
        <v>348.48</v>
      </c>
      <c r="F43" s="48">
        <v>348.48</v>
      </c>
      <c r="G43" s="51">
        <f t="shared" si="37"/>
        <v>696.96</v>
      </c>
      <c r="H43" s="48">
        <v>348.48</v>
      </c>
      <c r="I43" s="51">
        <f t="shared" si="38"/>
        <v>1045.44</v>
      </c>
      <c r="J43" s="48">
        <v>348.48</v>
      </c>
      <c r="K43" s="51">
        <f t="shared" si="39"/>
        <v>1393.92</v>
      </c>
      <c r="L43" s="48">
        <v>348.48</v>
      </c>
      <c r="M43" s="51">
        <f t="shared" si="40"/>
        <v>1742.4</v>
      </c>
      <c r="N43" s="48">
        <v>348.48</v>
      </c>
      <c r="O43" s="51">
        <f t="shared" si="41"/>
        <v>2090.88</v>
      </c>
      <c r="P43" s="48">
        <v>348.48</v>
      </c>
      <c r="Q43" s="51">
        <f t="shared" si="42"/>
        <v>2439.36</v>
      </c>
      <c r="R43" s="48"/>
      <c r="S43" s="51">
        <f t="shared" si="43"/>
        <v>2439.36</v>
      </c>
      <c r="T43" s="48"/>
      <c r="U43" s="51">
        <f t="shared" si="44"/>
        <v>2439.36</v>
      </c>
      <c r="V43" s="48"/>
      <c r="W43" s="51">
        <f t="shared" si="45"/>
        <v>2439.36</v>
      </c>
      <c r="X43" s="48"/>
      <c r="Y43" s="51">
        <f t="shared" si="46"/>
        <v>2439.36</v>
      </c>
    </row>
    <row r="44" spans="1:25" x14ac:dyDescent="0.25">
      <c r="A44" s="15" t="s">
        <v>38</v>
      </c>
      <c r="B44" s="15">
        <v>225</v>
      </c>
      <c r="C44" s="48"/>
      <c r="D44" s="48">
        <v>1273.9000000000001</v>
      </c>
      <c r="E44" s="51">
        <f t="shared" si="36"/>
        <v>1273.9000000000001</v>
      </c>
      <c r="F44" s="48">
        <v>1273.9000000000001</v>
      </c>
      <c r="G44" s="51">
        <f t="shared" si="37"/>
        <v>2547.8000000000002</v>
      </c>
      <c r="H44" s="48">
        <v>1273.9000000000001</v>
      </c>
      <c r="I44" s="51">
        <f t="shared" si="38"/>
        <v>3821.7000000000003</v>
      </c>
      <c r="J44" s="48">
        <v>1273.9000000000001</v>
      </c>
      <c r="K44" s="51">
        <f t="shared" si="39"/>
        <v>5095.6000000000004</v>
      </c>
      <c r="L44" s="48">
        <v>1273.9000000000001</v>
      </c>
      <c r="M44" s="51">
        <f t="shared" si="40"/>
        <v>6369.5</v>
      </c>
      <c r="N44" s="48">
        <v>1273.9000000000001</v>
      </c>
      <c r="O44" s="51">
        <f t="shared" si="41"/>
        <v>7643.4</v>
      </c>
      <c r="P44" s="48">
        <v>1273.9000000000001</v>
      </c>
      <c r="Q44" s="51">
        <f t="shared" si="42"/>
        <v>8917.2999999999993</v>
      </c>
      <c r="R44" s="48">
        <v>1401.66</v>
      </c>
      <c r="S44" s="51">
        <f t="shared" si="43"/>
        <v>10318.959999999999</v>
      </c>
      <c r="T44" s="48"/>
      <c r="U44" s="51">
        <f t="shared" si="44"/>
        <v>10318.959999999999</v>
      </c>
      <c r="V44" s="48"/>
      <c r="W44" s="51">
        <f t="shared" si="45"/>
        <v>10318.959999999999</v>
      </c>
      <c r="X44" s="48"/>
      <c r="Y44" s="51">
        <f t="shared" si="46"/>
        <v>10318.959999999999</v>
      </c>
    </row>
    <row r="45" spans="1:25" x14ac:dyDescent="0.25">
      <c r="A45" s="15" t="s">
        <v>60</v>
      </c>
      <c r="B45" s="15">
        <v>225</v>
      </c>
      <c r="C45" s="48"/>
      <c r="D45" s="48">
        <v>800</v>
      </c>
      <c r="E45" s="51">
        <f t="shared" si="36"/>
        <v>800</v>
      </c>
      <c r="F45" s="48"/>
      <c r="G45" s="51">
        <f t="shared" si="37"/>
        <v>800</v>
      </c>
      <c r="H45" s="48"/>
      <c r="I45" s="51">
        <f t="shared" si="38"/>
        <v>800</v>
      </c>
      <c r="J45" s="48">
        <v>3430</v>
      </c>
      <c r="K45" s="51">
        <f t="shared" si="39"/>
        <v>4230</v>
      </c>
      <c r="L45" s="48">
        <v>3340</v>
      </c>
      <c r="M45" s="51">
        <f t="shared" si="40"/>
        <v>7570</v>
      </c>
      <c r="N45" s="48"/>
      <c r="O45" s="51">
        <f t="shared" si="41"/>
        <v>7570</v>
      </c>
      <c r="P45" s="48"/>
      <c r="Q45" s="51">
        <f t="shared" si="42"/>
        <v>7570</v>
      </c>
      <c r="R45" s="48"/>
      <c r="S45" s="51">
        <f t="shared" si="43"/>
        <v>7570</v>
      </c>
      <c r="T45" s="48"/>
      <c r="U45" s="51">
        <f t="shared" si="44"/>
        <v>7570</v>
      </c>
      <c r="V45" s="48"/>
      <c r="W45" s="51">
        <f t="shared" si="45"/>
        <v>7570</v>
      </c>
      <c r="X45" s="48"/>
      <c r="Y45" s="51">
        <f t="shared" si="46"/>
        <v>7570</v>
      </c>
    </row>
    <row r="46" spans="1:25" x14ac:dyDescent="0.25">
      <c r="A46" s="15" t="s">
        <v>121</v>
      </c>
      <c r="B46" s="15">
        <v>225</v>
      </c>
      <c r="C46" s="48"/>
      <c r="D46" s="48"/>
      <c r="E46" s="51">
        <f t="shared" si="36"/>
        <v>0</v>
      </c>
      <c r="F46" s="48"/>
      <c r="G46" s="51">
        <f t="shared" si="37"/>
        <v>0</v>
      </c>
      <c r="H46" s="48"/>
      <c r="I46" s="51">
        <f t="shared" si="38"/>
        <v>0</v>
      </c>
      <c r="J46" s="48"/>
      <c r="K46" s="51">
        <f t="shared" si="39"/>
        <v>0</v>
      </c>
      <c r="L46" s="48"/>
      <c r="M46" s="51">
        <f t="shared" si="40"/>
        <v>0</v>
      </c>
      <c r="N46" s="48"/>
      <c r="O46" s="51">
        <f t="shared" si="41"/>
        <v>0</v>
      </c>
      <c r="P46" s="48">
        <v>9771</v>
      </c>
      <c r="Q46" s="51">
        <f t="shared" si="42"/>
        <v>9771</v>
      </c>
      <c r="R46" s="48"/>
      <c r="S46" s="51">
        <f t="shared" si="43"/>
        <v>9771</v>
      </c>
      <c r="T46" s="48"/>
      <c r="U46" s="51">
        <f t="shared" si="44"/>
        <v>9771</v>
      </c>
      <c r="V46" s="48"/>
      <c r="W46" s="51">
        <f t="shared" si="45"/>
        <v>9771</v>
      </c>
      <c r="X46" s="48"/>
      <c r="Y46" s="51">
        <f t="shared" si="46"/>
        <v>9771</v>
      </c>
    </row>
    <row r="47" spans="1:25" x14ac:dyDescent="0.25">
      <c r="A47" s="66" t="s">
        <v>56</v>
      </c>
      <c r="B47" s="67"/>
      <c r="C47" s="50">
        <f>SUM(C48:C55)</f>
        <v>0</v>
      </c>
      <c r="D47" s="50">
        <f t="shared" ref="D47:Y47" si="49">SUM(D48:D55)</f>
        <v>21652.799999999999</v>
      </c>
      <c r="E47" s="50">
        <f t="shared" si="49"/>
        <v>21652.799999999999</v>
      </c>
      <c r="F47" s="50">
        <f t="shared" si="49"/>
        <v>56451.5</v>
      </c>
      <c r="G47" s="50">
        <f t="shared" si="49"/>
        <v>78104.299999999988</v>
      </c>
      <c r="H47" s="50">
        <f t="shared" si="49"/>
        <v>28310.93</v>
      </c>
      <c r="I47" s="50">
        <f t="shared" si="49"/>
        <v>106415.23</v>
      </c>
      <c r="J47" s="50">
        <f t="shared" si="49"/>
        <v>12636.4</v>
      </c>
      <c r="K47" s="50">
        <f t="shared" si="49"/>
        <v>119051.63</v>
      </c>
      <c r="L47" s="50">
        <f t="shared" si="49"/>
        <v>21854.54</v>
      </c>
      <c r="M47" s="50">
        <f t="shared" si="49"/>
        <v>140906.16999999998</v>
      </c>
      <c r="N47" s="50">
        <f t="shared" si="49"/>
        <v>29250.400000000001</v>
      </c>
      <c r="O47" s="50">
        <f t="shared" si="49"/>
        <v>170156.57</v>
      </c>
      <c r="P47" s="50">
        <f t="shared" si="49"/>
        <v>49496.6</v>
      </c>
      <c r="Q47" s="50">
        <f t="shared" si="49"/>
        <v>219653.16999999998</v>
      </c>
      <c r="R47" s="50">
        <f t="shared" si="49"/>
        <v>47076.4</v>
      </c>
      <c r="S47" s="50">
        <f t="shared" si="49"/>
        <v>266729.57</v>
      </c>
      <c r="T47" s="50">
        <f t="shared" si="49"/>
        <v>0</v>
      </c>
      <c r="U47" s="50">
        <f t="shared" si="49"/>
        <v>266729.57</v>
      </c>
      <c r="V47" s="50">
        <f t="shared" si="49"/>
        <v>0</v>
      </c>
      <c r="W47" s="50">
        <f t="shared" si="49"/>
        <v>266729.57</v>
      </c>
      <c r="X47" s="50">
        <f t="shared" si="49"/>
        <v>0</v>
      </c>
      <c r="Y47" s="50">
        <f t="shared" si="49"/>
        <v>266729.57</v>
      </c>
    </row>
    <row r="48" spans="1:25" x14ac:dyDescent="0.25">
      <c r="A48" s="15" t="s">
        <v>35</v>
      </c>
      <c r="B48" s="15">
        <v>226</v>
      </c>
      <c r="C48" s="48"/>
      <c r="D48" s="48">
        <f>5816.4+5816.4</f>
        <v>11632.8</v>
      </c>
      <c r="E48" s="51">
        <f t="shared" si="36"/>
        <v>11632.8</v>
      </c>
      <c r="F48" s="48">
        <v>5816.4</v>
      </c>
      <c r="G48" s="51">
        <f t="shared" si="37"/>
        <v>17449.199999999997</v>
      </c>
      <c r="H48" s="48">
        <v>5816.4</v>
      </c>
      <c r="I48" s="51">
        <f t="shared" si="38"/>
        <v>23265.599999999999</v>
      </c>
      <c r="J48" s="48">
        <v>5816.4</v>
      </c>
      <c r="K48" s="51">
        <f t="shared" si="39"/>
        <v>29082</v>
      </c>
      <c r="L48" s="48">
        <v>5816.4</v>
      </c>
      <c r="M48" s="51">
        <f t="shared" si="40"/>
        <v>34898.400000000001</v>
      </c>
      <c r="N48" s="48">
        <v>5816.4</v>
      </c>
      <c r="O48" s="51">
        <f t="shared" si="41"/>
        <v>40714.800000000003</v>
      </c>
      <c r="P48" s="48">
        <v>5816.4</v>
      </c>
      <c r="Q48" s="51">
        <f t="shared" si="42"/>
        <v>46531.200000000004</v>
      </c>
      <c r="R48" s="48">
        <v>5816.4</v>
      </c>
      <c r="S48" s="51">
        <f t="shared" si="43"/>
        <v>52347.600000000006</v>
      </c>
      <c r="T48" s="48"/>
      <c r="U48" s="51">
        <f t="shared" si="44"/>
        <v>52347.600000000006</v>
      </c>
      <c r="V48" s="48"/>
      <c r="W48" s="51">
        <f t="shared" si="45"/>
        <v>52347.600000000006</v>
      </c>
      <c r="X48" s="48"/>
      <c r="Y48" s="51">
        <f t="shared" si="46"/>
        <v>52347.600000000006</v>
      </c>
    </row>
    <row r="49" spans="1:25" x14ac:dyDescent="0.25">
      <c r="A49" s="15" t="s">
        <v>144</v>
      </c>
      <c r="B49" s="15">
        <v>226</v>
      </c>
      <c r="C49" s="48"/>
      <c r="D49" s="48">
        <f>4500+4500</f>
        <v>9000</v>
      </c>
      <c r="E49" s="51">
        <f t="shared" si="36"/>
        <v>9000</v>
      </c>
      <c r="F49" s="48"/>
      <c r="G49" s="51">
        <f t="shared" si="37"/>
        <v>9000</v>
      </c>
      <c r="H49" s="48">
        <f>4500+4500</f>
        <v>9000</v>
      </c>
      <c r="I49" s="51">
        <f t="shared" si="38"/>
        <v>18000</v>
      </c>
      <c r="J49" s="48">
        <v>4500</v>
      </c>
      <c r="K49" s="51">
        <f t="shared" si="39"/>
        <v>22500</v>
      </c>
      <c r="L49" s="48"/>
      <c r="M49" s="51">
        <f t="shared" si="40"/>
        <v>22500</v>
      </c>
      <c r="N49" s="48">
        <v>4500</v>
      </c>
      <c r="O49" s="51">
        <f t="shared" si="41"/>
        <v>27000</v>
      </c>
      <c r="P49" s="48">
        <f>4500+4500</f>
        <v>9000</v>
      </c>
      <c r="Q49" s="51">
        <f t="shared" si="42"/>
        <v>36000</v>
      </c>
      <c r="R49" s="48"/>
      <c r="S49" s="51">
        <f t="shared" si="43"/>
        <v>36000</v>
      </c>
      <c r="T49" s="48"/>
      <c r="U49" s="51">
        <f t="shared" si="44"/>
        <v>36000</v>
      </c>
      <c r="V49" s="48"/>
      <c r="W49" s="51">
        <f t="shared" si="45"/>
        <v>36000</v>
      </c>
      <c r="X49" s="48"/>
      <c r="Y49" s="51">
        <f t="shared" si="46"/>
        <v>36000</v>
      </c>
    </row>
    <row r="50" spans="1:25" x14ac:dyDescent="0.25">
      <c r="A50" s="15" t="s">
        <v>143</v>
      </c>
      <c r="B50" s="15">
        <v>226</v>
      </c>
      <c r="C50" s="48"/>
      <c r="D50" s="48">
        <v>0</v>
      </c>
      <c r="E50" s="51">
        <f t="shared" si="36"/>
        <v>0</v>
      </c>
      <c r="F50" s="48"/>
      <c r="G50" s="51">
        <f t="shared" si="37"/>
        <v>0</v>
      </c>
      <c r="H50" s="48">
        <v>4578.53</v>
      </c>
      <c r="I50" s="51">
        <f t="shared" si="38"/>
        <v>4578.53</v>
      </c>
      <c r="J50" s="48"/>
      <c r="K50" s="51">
        <f t="shared" si="39"/>
        <v>4578.53</v>
      </c>
      <c r="L50" s="48"/>
      <c r="M50" s="51">
        <f t="shared" si="40"/>
        <v>4578.53</v>
      </c>
      <c r="N50" s="48"/>
      <c r="O50" s="51">
        <f t="shared" si="41"/>
        <v>4578.53</v>
      </c>
      <c r="P50" s="48"/>
      <c r="Q50" s="51">
        <f t="shared" si="42"/>
        <v>4578.53</v>
      </c>
      <c r="R50" s="48"/>
      <c r="S50" s="51">
        <f t="shared" si="43"/>
        <v>4578.53</v>
      </c>
      <c r="T50" s="48"/>
      <c r="U50" s="51">
        <f t="shared" si="44"/>
        <v>4578.53</v>
      </c>
      <c r="V50" s="48"/>
      <c r="W50" s="51">
        <f t="shared" si="45"/>
        <v>4578.53</v>
      </c>
      <c r="X50" s="48"/>
      <c r="Y50" s="51">
        <f t="shared" si="46"/>
        <v>4578.53</v>
      </c>
    </row>
    <row r="51" spans="1:25" x14ac:dyDescent="0.25">
      <c r="A51" s="15" t="s">
        <v>43</v>
      </c>
      <c r="B51" s="15">
        <v>226</v>
      </c>
      <c r="C51" s="48"/>
      <c r="D51" s="48">
        <v>1020</v>
      </c>
      <c r="E51" s="51">
        <f t="shared" si="36"/>
        <v>1020</v>
      </c>
      <c r="F51" s="48">
        <v>1140</v>
      </c>
      <c r="G51" s="51">
        <f t="shared" si="37"/>
        <v>2160</v>
      </c>
      <c r="H51" s="48">
        <v>1290</v>
      </c>
      <c r="I51" s="51">
        <f t="shared" si="38"/>
        <v>3450</v>
      </c>
      <c r="J51" s="48">
        <v>1320</v>
      </c>
      <c r="K51" s="51">
        <f t="shared" si="39"/>
        <v>4770</v>
      </c>
      <c r="L51" s="48">
        <v>1170</v>
      </c>
      <c r="M51" s="51">
        <f t="shared" si="40"/>
        <v>5940</v>
      </c>
      <c r="N51" s="48">
        <v>1140</v>
      </c>
      <c r="O51" s="51">
        <f t="shared" si="41"/>
        <v>7080</v>
      </c>
      <c r="P51" s="48">
        <v>1380</v>
      </c>
      <c r="Q51" s="51">
        <f t="shared" si="42"/>
        <v>8460</v>
      </c>
      <c r="R51" s="48">
        <v>1260</v>
      </c>
      <c r="S51" s="51">
        <f t="shared" si="43"/>
        <v>9720</v>
      </c>
      <c r="T51" s="48"/>
      <c r="U51" s="51">
        <f t="shared" si="44"/>
        <v>9720</v>
      </c>
      <c r="V51" s="48"/>
      <c r="W51" s="51">
        <f t="shared" si="45"/>
        <v>9720</v>
      </c>
      <c r="X51" s="48"/>
      <c r="Y51" s="51">
        <f t="shared" si="46"/>
        <v>9720</v>
      </c>
    </row>
    <row r="52" spans="1:25" x14ac:dyDescent="0.25">
      <c r="A52" s="26" t="s">
        <v>65</v>
      </c>
      <c r="B52" s="15">
        <v>226</v>
      </c>
      <c r="C52" s="48"/>
      <c r="D52" s="48">
        <v>0</v>
      </c>
      <c r="E52" s="51">
        <f t="shared" si="36"/>
        <v>0</v>
      </c>
      <c r="F52" s="48">
        <f>413.1+1053+1782+7047</f>
        <v>10295.1</v>
      </c>
      <c r="G52" s="51">
        <f t="shared" si="37"/>
        <v>10295.1</v>
      </c>
      <c r="H52" s="48">
        <f>5220+306+780+1320</f>
        <v>7626</v>
      </c>
      <c r="I52" s="51">
        <f t="shared" si="38"/>
        <v>17921.099999999999</v>
      </c>
      <c r="J52" s="48"/>
      <c r="K52" s="51">
        <f t="shared" si="39"/>
        <v>17921.099999999999</v>
      </c>
      <c r="L52" s="48"/>
      <c r="M52" s="51">
        <f t="shared" si="40"/>
        <v>17921.099999999999</v>
      </c>
      <c r="N52" s="48">
        <f>306+780+1320+5220+408+1040+1760+6960</f>
        <v>17794</v>
      </c>
      <c r="O52" s="51">
        <f t="shared" si="41"/>
        <v>35715.1</v>
      </c>
      <c r="P52" s="48">
        <f>918+2340+3960+15660+418.2+1066+1804+7134</f>
        <v>33300.199999999997</v>
      </c>
      <c r="Q52" s="51">
        <f t="shared" si="42"/>
        <v>69015.299999999988</v>
      </c>
      <c r="R52" s="48"/>
      <c r="S52" s="51">
        <f t="shared" si="43"/>
        <v>69015.299999999988</v>
      </c>
      <c r="T52" s="48"/>
      <c r="U52" s="51">
        <f t="shared" si="44"/>
        <v>69015.299999999988</v>
      </c>
      <c r="V52" s="48"/>
      <c r="W52" s="51">
        <f t="shared" si="45"/>
        <v>69015.299999999988</v>
      </c>
      <c r="X52" s="48"/>
      <c r="Y52" s="51">
        <f t="shared" si="46"/>
        <v>69015.299999999988</v>
      </c>
    </row>
    <row r="53" spans="1:25" x14ac:dyDescent="0.25">
      <c r="A53" s="26" t="s">
        <v>109</v>
      </c>
      <c r="B53" s="15">
        <v>226</v>
      </c>
      <c r="C53" s="48"/>
      <c r="D53" s="48">
        <v>0</v>
      </c>
      <c r="E53" s="51">
        <f t="shared" si="36"/>
        <v>0</v>
      </c>
      <c r="F53" s="48"/>
      <c r="G53" s="51">
        <f t="shared" si="37"/>
        <v>0</v>
      </c>
      <c r="H53" s="48"/>
      <c r="I53" s="51">
        <f t="shared" si="38"/>
        <v>0</v>
      </c>
      <c r="J53" s="48"/>
      <c r="K53" s="51">
        <f t="shared" si="39"/>
        <v>0</v>
      </c>
      <c r="L53" s="48">
        <v>14868.14</v>
      </c>
      <c r="M53" s="51">
        <f t="shared" si="40"/>
        <v>14868.14</v>
      </c>
      <c r="N53" s="48"/>
      <c r="O53" s="51">
        <f t="shared" si="41"/>
        <v>14868.14</v>
      </c>
      <c r="P53" s="48"/>
      <c r="Q53" s="51">
        <f t="shared" si="42"/>
        <v>14868.14</v>
      </c>
      <c r="R53" s="48"/>
      <c r="S53" s="51">
        <f t="shared" si="43"/>
        <v>14868.14</v>
      </c>
      <c r="T53" s="48"/>
      <c r="U53" s="51">
        <f t="shared" si="44"/>
        <v>14868.14</v>
      </c>
      <c r="V53" s="48"/>
      <c r="W53" s="51">
        <f t="shared" si="45"/>
        <v>14868.14</v>
      </c>
      <c r="X53" s="48"/>
      <c r="Y53" s="51">
        <f t="shared" si="46"/>
        <v>14868.14</v>
      </c>
    </row>
    <row r="54" spans="1:25" x14ac:dyDescent="0.25">
      <c r="A54" s="26" t="s">
        <v>131</v>
      </c>
      <c r="B54" s="15">
        <v>226</v>
      </c>
      <c r="C54" s="48"/>
      <c r="D54" s="48"/>
      <c r="E54" s="51"/>
      <c r="F54" s="48"/>
      <c r="G54" s="51"/>
      <c r="H54" s="48"/>
      <c r="I54" s="51"/>
      <c r="J54" s="48"/>
      <c r="K54" s="51"/>
      <c r="L54" s="48"/>
      <c r="M54" s="51"/>
      <c r="N54" s="48"/>
      <c r="O54" s="51"/>
      <c r="P54" s="48"/>
      <c r="Q54" s="51"/>
      <c r="R54" s="48">
        <v>40000</v>
      </c>
      <c r="S54" s="51">
        <f t="shared" si="43"/>
        <v>40000</v>
      </c>
      <c r="T54" s="48"/>
      <c r="U54" s="51">
        <f t="shared" si="44"/>
        <v>40000</v>
      </c>
      <c r="V54" s="48"/>
      <c r="W54" s="51">
        <f t="shared" si="45"/>
        <v>40000</v>
      </c>
      <c r="X54" s="48"/>
      <c r="Y54" s="51">
        <f t="shared" si="46"/>
        <v>40000</v>
      </c>
    </row>
    <row r="55" spans="1:25" x14ac:dyDescent="0.25">
      <c r="A55" s="26" t="s">
        <v>67</v>
      </c>
      <c r="B55" s="15">
        <v>226</v>
      </c>
      <c r="C55" s="48"/>
      <c r="D55" s="48">
        <v>0</v>
      </c>
      <c r="E55" s="51">
        <f t="shared" si="36"/>
        <v>0</v>
      </c>
      <c r="F55" s="48">
        <v>39200</v>
      </c>
      <c r="G55" s="51">
        <f t="shared" si="37"/>
        <v>39200</v>
      </c>
      <c r="H55" s="48"/>
      <c r="I55" s="51">
        <f t="shared" si="38"/>
        <v>39200</v>
      </c>
      <c r="J55" s="48">
        <v>1000</v>
      </c>
      <c r="K55" s="51">
        <f t="shared" si="39"/>
        <v>40200</v>
      </c>
      <c r="L55" s="48"/>
      <c r="M55" s="51">
        <f t="shared" si="40"/>
        <v>40200</v>
      </c>
      <c r="N55" s="48"/>
      <c r="O55" s="51">
        <f t="shared" si="41"/>
        <v>40200</v>
      </c>
      <c r="P55" s="48"/>
      <c r="Q55" s="51">
        <f t="shared" si="42"/>
        <v>40200</v>
      </c>
      <c r="R55" s="48"/>
      <c r="S55" s="51">
        <f t="shared" si="43"/>
        <v>40200</v>
      </c>
      <c r="T55" s="48"/>
      <c r="U55" s="51">
        <f t="shared" si="44"/>
        <v>40200</v>
      </c>
      <c r="V55" s="48"/>
      <c r="W55" s="51">
        <f t="shared" si="45"/>
        <v>40200</v>
      </c>
      <c r="X55" s="48"/>
      <c r="Y55" s="51">
        <f t="shared" si="46"/>
        <v>40200</v>
      </c>
    </row>
    <row r="56" spans="1:25" x14ac:dyDescent="0.25">
      <c r="A56" s="66" t="s">
        <v>96</v>
      </c>
      <c r="B56" s="67"/>
      <c r="C56" s="24">
        <f>C57</f>
        <v>0</v>
      </c>
      <c r="D56" s="24">
        <f t="shared" ref="D56:Y56" si="50">D57</f>
        <v>0</v>
      </c>
      <c r="E56" s="24">
        <f t="shared" si="50"/>
        <v>0</v>
      </c>
      <c r="F56" s="24">
        <f t="shared" si="50"/>
        <v>0</v>
      </c>
      <c r="G56" s="24">
        <f t="shared" si="50"/>
        <v>0</v>
      </c>
      <c r="H56" s="24">
        <f t="shared" si="50"/>
        <v>0</v>
      </c>
      <c r="I56" s="24">
        <f t="shared" si="50"/>
        <v>0</v>
      </c>
      <c r="J56" s="24">
        <f t="shared" si="50"/>
        <v>1895</v>
      </c>
      <c r="K56" s="24">
        <f t="shared" si="50"/>
        <v>1895</v>
      </c>
      <c r="L56" s="24">
        <f t="shared" si="50"/>
        <v>0</v>
      </c>
      <c r="M56" s="24">
        <f t="shared" si="50"/>
        <v>1895</v>
      </c>
      <c r="N56" s="24">
        <f t="shared" si="50"/>
        <v>0</v>
      </c>
      <c r="O56" s="24">
        <f t="shared" si="50"/>
        <v>1895</v>
      </c>
      <c r="P56" s="24">
        <f t="shared" si="50"/>
        <v>0</v>
      </c>
      <c r="Q56" s="24">
        <f t="shared" si="50"/>
        <v>1895</v>
      </c>
      <c r="R56" s="24">
        <f t="shared" si="50"/>
        <v>0</v>
      </c>
      <c r="S56" s="24">
        <f t="shared" si="50"/>
        <v>1895</v>
      </c>
      <c r="T56" s="24">
        <f t="shared" si="50"/>
        <v>0</v>
      </c>
      <c r="U56" s="24">
        <f t="shared" si="50"/>
        <v>1895</v>
      </c>
      <c r="V56" s="24">
        <f t="shared" si="50"/>
        <v>0</v>
      </c>
      <c r="W56" s="24">
        <f t="shared" si="50"/>
        <v>1895</v>
      </c>
      <c r="X56" s="24">
        <f t="shared" si="50"/>
        <v>0</v>
      </c>
      <c r="Y56" s="24">
        <f t="shared" si="50"/>
        <v>1895</v>
      </c>
    </row>
    <row r="57" spans="1:25" x14ac:dyDescent="0.25">
      <c r="A57" s="15" t="s">
        <v>97</v>
      </c>
      <c r="B57" s="15">
        <v>310</v>
      </c>
      <c r="C57" s="48"/>
      <c r="D57" s="48"/>
      <c r="E57" s="51">
        <f t="shared" ref="E57" si="51">C57+D57</f>
        <v>0</v>
      </c>
      <c r="F57" s="48"/>
      <c r="G57" s="51">
        <f t="shared" ref="G57" si="52">E57+F57</f>
        <v>0</v>
      </c>
      <c r="H57" s="48"/>
      <c r="I57" s="51">
        <f t="shared" ref="I57" si="53">G57+H57</f>
        <v>0</v>
      </c>
      <c r="J57" s="48">
        <v>1895</v>
      </c>
      <c r="K57" s="51">
        <f t="shared" ref="K57" si="54">I57+J57</f>
        <v>1895</v>
      </c>
      <c r="L57" s="48"/>
      <c r="M57" s="51">
        <f t="shared" ref="M57" si="55">K57+L57</f>
        <v>1895</v>
      </c>
      <c r="N57" s="48"/>
      <c r="O57" s="51">
        <f t="shared" ref="O57" si="56">M57+N57</f>
        <v>1895</v>
      </c>
      <c r="P57" s="48"/>
      <c r="Q57" s="51">
        <f t="shared" ref="Q57" si="57">O57+P57</f>
        <v>1895</v>
      </c>
      <c r="R57" s="48"/>
      <c r="S57" s="51">
        <f t="shared" ref="S57" si="58">Q57+R57</f>
        <v>1895</v>
      </c>
      <c r="T57" s="48"/>
      <c r="U57" s="51">
        <f t="shared" ref="U57" si="59">S57+T57</f>
        <v>1895</v>
      </c>
      <c r="V57" s="48"/>
      <c r="W57" s="51">
        <f t="shared" ref="W57" si="60">U57+V57</f>
        <v>1895</v>
      </c>
      <c r="X57" s="48"/>
      <c r="Y57" s="51">
        <f t="shared" ref="Y57" si="61">W57+X57</f>
        <v>1895</v>
      </c>
    </row>
    <row r="58" spans="1:25" x14ac:dyDescent="0.25">
      <c r="A58" s="66" t="s">
        <v>57</v>
      </c>
      <c r="B58" s="67"/>
      <c r="C58" s="50">
        <f>SUM(C59:C64)</f>
        <v>26100</v>
      </c>
      <c r="D58" s="50">
        <f t="shared" ref="D58:Y58" si="62">SUM(D59:D64)</f>
        <v>23040</v>
      </c>
      <c r="E58" s="50">
        <f t="shared" si="62"/>
        <v>49140</v>
      </c>
      <c r="F58" s="50">
        <f t="shared" si="62"/>
        <v>0</v>
      </c>
      <c r="G58" s="50">
        <f t="shared" si="62"/>
        <v>49140</v>
      </c>
      <c r="H58" s="50">
        <f t="shared" si="62"/>
        <v>9991</v>
      </c>
      <c r="I58" s="50">
        <f t="shared" si="62"/>
        <v>59131</v>
      </c>
      <c r="J58" s="50">
        <f t="shared" si="62"/>
        <v>724.5</v>
      </c>
      <c r="K58" s="50">
        <f t="shared" si="62"/>
        <v>59855.5</v>
      </c>
      <c r="L58" s="50">
        <f t="shared" si="62"/>
        <v>0</v>
      </c>
      <c r="M58" s="50">
        <f t="shared" si="62"/>
        <v>59855.5</v>
      </c>
      <c r="N58" s="50">
        <f t="shared" si="62"/>
        <v>52632</v>
      </c>
      <c r="O58" s="50">
        <f t="shared" si="62"/>
        <v>112487.5</v>
      </c>
      <c r="P58" s="50">
        <f t="shared" si="62"/>
        <v>9620</v>
      </c>
      <c r="Q58" s="50">
        <f t="shared" si="62"/>
        <v>122107.5</v>
      </c>
      <c r="R58" s="50">
        <f t="shared" si="62"/>
        <v>0</v>
      </c>
      <c r="S58" s="50">
        <f t="shared" si="62"/>
        <v>122107.5</v>
      </c>
      <c r="T58" s="50">
        <f t="shared" si="62"/>
        <v>0</v>
      </c>
      <c r="U58" s="50">
        <f t="shared" si="62"/>
        <v>122107.5</v>
      </c>
      <c r="V58" s="50">
        <f t="shared" si="62"/>
        <v>0</v>
      </c>
      <c r="W58" s="50">
        <f t="shared" si="62"/>
        <v>122107.5</v>
      </c>
      <c r="X58" s="50">
        <f t="shared" si="62"/>
        <v>0</v>
      </c>
      <c r="Y58" s="50">
        <f t="shared" si="62"/>
        <v>122107.5</v>
      </c>
    </row>
    <row r="59" spans="1:25" x14ac:dyDescent="0.25">
      <c r="A59" s="15" t="s">
        <v>31</v>
      </c>
      <c r="B59" s="15">
        <v>340</v>
      </c>
      <c r="C59" s="48">
        <v>26100</v>
      </c>
      <c r="D59" s="48">
        <v>23040</v>
      </c>
      <c r="E59" s="51">
        <f t="shared" si="36"/>
        <v>49140</v>
      </c>
      <c r="F59" s="48"/>
      <c r="G59" s="51">
        <f t="shared" si="37"/>
        <v>49140</v>
      </c>
      <c r="H59" s="48"/>
      <c r="I59" s="51">
        <f t="shared" si="38"/>
        <v>49140</v>
      </c>
      <c r="J59" s="48"/>
      <c r="K59" s="51">
        <f t="shared" si="39"/>
        <v>49140</v>
      </c>
      <c r="L59" s="48"/>
      <c r="M59" s="51">
        <f t="shared" si="40"/>
        <v>49140</v>
      </c>
      <c r="N59" s="48">
        <v>48320</v>
      </c>
      <c r="O59" s="51">
        <f t="shared" si="41"/>
        <v>97460</v>
      </c>
      <c r="P59" s="48"/>
      <c r="Q59" s="51">
        <f t="shared" si="42"/>
        <v>97460</v>
      </c>
      <c r="R59" s="48"/>
      <c r="S59" s="51">
        <f t="shared" si="43"/>
        <v>97460</v>
      </c>
      <c r="T59" s="48"/>
      <c r="U59" s="51">
        <f t="shared" si="44"/>
        <v>97460</v>
      </c>
      <c r="V59" s="48"/>
      <c r="W59" s="51">
        <f t="shared" si="45"/>
        <v>97460</v>
      </c>
      <c r="X59" s="48"/>
      <c r="Y59" s="51">
        <f t="shared" si="46"/>
        <v>97460</v>
      </c>
    </row>
    <row r="60" spans="1:25" x14ac:dyDescent="0.25">
      <c r="A60" s="15" t="s">
        <v>89</v>
      </c>
      <c r="B60" s="15">
        <v>340</v>
      </c>
      <c r="C60" s="48"/>
      <c r="D60" s="48"/>
      <c r="E60" s="51">
        <f t="shared" si="36"/>
        <v>0</v>
      </c>
      <c r="F60" s="48"/>
      <c r="G60" s="51">
        <f t="shared" si="37"/>
        <v>0</v>
      </c>
      <c r="H60" s="48">
        <v>2130</v>
      </c>
      <c r="I60" s="51">
        <f t="shared" si="38"/>
        <v>2130</v>
      </c>
      <c r="J60" s="48"/>
      <c r="K60" s="51">
        <f t="shared" si="39"/>
        <v>2130</v>
      </c>
      <c r="L60" s="48"/>
      <c r="M60" s="51">
        <f t="shared" si="40"/>
        <v>2130</v>
      </c>
      <c r="N60" s="48"/>
      <c r="O60" s="51">
        <f t="shared" si="41"/>
        <v>2130</v>
      </c>
      <c r="P60" s="48"/>
      <c r="Q60" s="51">
        <f t="shared" si="42"/>
        <v>2130</v>
      </c>
      <c r="R60" s="48"/>
      <c r="S60" s="51">
        <f t="shared" si="43"/>
        <v>2130</v>
      </c>
      <c r="T60" s="48"/>
      <c r="U60" s="51">
        <f t="shared" si="44"/>
        <v>2130</v>
      </c>
      <c r="V60" s="48"/>
      <c r="W60" s="51">
        <f t="shared" si="45"/>
        <v>2130</v>
      </c>
      <c r="X60" s="48"/>
      <c r="Y60" s="51">
        <f t="shared" si="46"/>
        <v>2130</v>
      </c>
    </row>
    <row r="61" spans="1:25" x14ac:dyDescent="0.25">
      <c r="A61" s="15" t="s">
        <v>90</v>
      </c>
      <c r="B61" s="15">
        <v>340</v>
      </c>
      <c r="C61" s="48"/>
      <c r="D61" s="48"/>
      <c r="E61" s="51">
        <f t="shared" si="36"/>
        <v>0</v>
      </c>
      <c r="F61" s="48"/>
      <c r="G61" s="51">
        <f t="shared" si="37"/>
        <v>0</v>
      </c>
      <c r="H61" s="48">
        <v>7861</v>
      </c>
      <c r="I61" s="51">
        <f t="shared" si="38"/>
        <v>7861</v>
      </c>
      <c r="J61" s="48"/>
      <c r="K61" s="51">
        <f t="shared" si="39"/>
        <v>7861</v>
      </c>
      <c r="L61" s="48"/>
      <c r="M61" s="51">
        <f t="shared" si="40"/>
        <v>7861</v>
      </c>
      <c r="N61" s="48">
        <v>2485</v>
      </c>
      <c r="O61" s="51">
        <f t="shared" si="41"/>
        <v>10346</v>
      </c>
      <c r="P61" s="48"/>
      <c r="Q61" s="51">
        <f t="shared" si="42"/>
        <v>10346</v>
      </c>
      <c r="R61" s="48"/>
      <c r="S61" s="51">
        <f t="shared" si="43"/>
        <v>10346</v>
      </c>
      <c r="T61" s="48"/>
      <c r="U61" s="51">
        <f t="shared" si="44"/>
        <v>10346</v>
      </c>
      <c r="V61" s="48"/>
      <c r="W61" s="51">
        <f t="shared" si="45"/>
        <v>10346</v>
      </c>
      <c r="X61" s="48"/>
      <c r="Y61" s="51">
        <f t="shared" si="46"/>
        <v>10346</v>
      </c>
    </row>
    <row r="62" spans="1:25" x14ac:dyDescent="0.25">
      <c r="A62" s="15" t="s">
        <v>124</v>
      </c>
      <c r="B62" s="15">
        <v>340</v>
      </c>
      <c r="C62" s="48"/>
      <c r="D62" s="48"/>
      <c r="E62" s="51">
        <f t="shared" si="36"/>
        <v>0</v>
      </c>
      <c r="F62" s="48"/>
      <c r="G62" s="51">
        <f t="shared" si="37"/>
        <v>0</v>
      </c>
      <c r="H62" s="48"/>
      <c r="I62" s="51">
        <f t="shared" si="38"/>
        <v>0</v>
      </c>
      <c r="J62" s="48"/>
      <c r="K62" s="51">
        <f t="shared" si="39"/>
        <v>0</v>
      </c>
      <c r="L62" s="48"/>
      <c r="M62" s="51">
        <f t="shared" si="40"/>
        <v>0</v>
      </c>
      <c r="N62" s="48"/>
      <c r="O62" s="51">
        <f t="shared" si="41"/>
        <v>0</v>
      </c>
      <c r="P62" s="48">
        <v>9620</v>
      </c>
      <c r="Q62" s="51">
        <f t="shared" si="42"/>
        <v>9620</v>
      </c>
      <c r="R62" s="48"/>
      <c r="S62" s="51">
        <f t="shared" si="43"/>
        <v>9620</v>
      </c>
      <c r="T62" s="48"/>
      <c r="U62" s="51">
        <f t="shared" si="44"/>
        <v>9620</v>
      </c>
      <c r="V62" s="48"/>
      <c r="W62" s="51">
        <f t="shared" si="45"/>
        <v>9620</v>
      </c>
      <c r="X62" s="48"/>
      <c r="Y62" s="51">
        <f t="shared" si="46"/>
        <v>9620</v>
      </c>
    </row>
    <row r="63" spans="1:25" x14ac:dyDescent="0.25">
      <c r="A63" s="15" t="s">
        <v>95</v>
      </c>
      <c r="B63" s="15">
        <v>340</v>
      </c>
      <c r="C63" s="48"/>
      <c r="D63" s="48"/>
      <c r="E63" s="51">
        <f t="shared" si="36"/>
        <v>0</v>
      </c>
      <c r="F63" s="48"/>
      <c r="G63" s="51">
        <f t="shared" si="37"/>
        <v>0</v>
      </c>
      <c r="H63" s="48"/>
      <c r="I63" s="51">
        <f t="shared" si="38"/>
        <v>0</v>
      </c>
      <c r="J63" s="48">
        <f>724.5</f>
        <v>724.5</v>
      </c>
      <c r="K63" s="51">
        <f t="shared" si="39"/>
        <v>724.5</v>
      </c>
      <c r="L63" s="48"/>
      <c r="M63" s="51">
        <f t="shared" si="40"/>
        <v>724.5</v>
      </c>
      <c r="N63" s="48">
        <v>891</v>
      </c>
      <c r="O63" s="51">
        <f t="shared" si="41"/>
        <v>1615.5</v>
      </c>
      <c r="P63" s="48"/>
      <c r="Q63" s="51">
        <f t="shared" si="42"/>
        <v>1615.5</v>
      </c>
      <c r="R63" s="48"/>
      <c r="S63" s="51">
        <f t="shared" si="43"/>
        <v>1615.5</v>
      </c>
      <c r="T63" s="48"/>
      <c r="U63" s="51">
        <f t="shared" si="44"/>
        <v>1615.5</v>
      </c>
      <c r="V63" s="48"/>
      <c r="W63" s="51">
        <f t="shared" si="45"/>
        <v>1615.5</v>
      </c>
      <c r="X63" s="48"/>
      <c r="Y63" s="51">
        <f t="shared" si="46"/>
        <v>1615.5</v>
      </c>
    </row>
    <row r="64" spans="1:25" x14ac:dyDescent="0.25">
      <c r="A64" s="15" t="s">
        <v>120</v>
      </c>
      <c r="B64" s="15">
        <v>340</v>
      </c>
      <c r="C64" s="48"/>
      <c r="D64" s="48"/>
      <c r="E64" s="51">
        <f t="shared" si="36"/>
        <v>0</v>
      </c>
      <c r="F64" s="48"/>
      <c r="G64" s="51">
        <f t="shared" si="37"/>
        <v>0</v>
      </c>
      <c r="H64" s="48"/>
      <c r="I64" s="51">
        <f t="shared" si="38"/>
        <v>0</v>
      </c>
      <c r="J64" s="48"/>
      <c r="K64" s="51">
        <f t="shared" si="39"/>
        <v>0</v>
      </c>
      <c r="L64" s="48"/>
      <c r="M64" s="51">
        <f t="shared" si="40"/>
        <v>0</v>
      </c>
      <c r="N64" s="48">
        <v>936</v>
      </c>
      <c r="O64" s="51">
        <f t="shared" si="41"/>
        <v>936</v>
      </c>
      <c r="P64" s="48"/>
      <c r="Q64" s="51">
        <f t="shared" si="42"/>
        <v>936</v>
      </c>
      <c r="R64" s="48"/>
      <c r="S64" s="51">
        <f t="shared" si="43"/>
        <v>936</v>
      </c>
      <c r="T64" s="48"/>
      <c r="U64" s="51">
        <f t="shared" si="44"/>
        <v>936</v>
      </c>
      <c r="V64" s="48"/>
      <c r="W64" s="51">
        <f t="shared" si="45"/>
        <v>936</v>
      </c>
      <c r="X64" s="48"/>
      <c r="Y64" s="51">
        <f t="shared" si="46"/>
        <v>936</v>
      </c>
    </row>
    <row r="65" spans="1:25" x14ac:dyDescent="0.25">
      <c r="A65" s="68" t="s">
        <v>1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</row>
    <row r="66" spans="1:25" x14ac:dyDescent="0.25">
      <c r="A66" s="27" t="s">
        <v>88</v>
      </c>
      <c r="B66" s="28"/>
      <c r="C66" s="29">
        <f t="shared" ref="C66:Y66" si="63">SUM(C67:C68)</f>
        <v>0</v>
      </c>
      <c r="D66" s="29">
        <f t="shared" si="63"/>
        <v>0</v>
      </c>
      <c r="E66" s="29">
        <f t="shared" si="63"/>
        <v>0</v>
      </c>
      <c r="F66" s="29">
        <f t="shared" si="63"/>
        <v>0</v>
      </c>
      <c r="G66" s="29">
        <f t="shared" si="63"/>
        <v>0</v>
      </c>
      <c r="H66" s="29">
        <f t="shared" si="63"/>
        <v>613.41</v>
      </c>
      <c r="I66" s="29">
        <f t="shared" si="63"/>
        <v>613.41</v>
      </c>
      <c r="J66" s="29">
        <f t="shared" si="63"/>
        <v>0</v>
      </c>
      <c r="K66" s="29">
        <f t="shared" si="63"/>
        <v>613.41</v>
      </c>
      <c r="L66" s="29">
        <f t="shared" si="63"/>
        <v>0</v>
      </c>
      <c r="M66" s="29">
        <f t="shared" si="63"/>
        <v>613.41</v>
      </c>
      <c r="N66" s="29">
        <f t="shared" si="63"/>
        <v>612.98</v>
      </c>
      <c r="O66" s="29">
        <f t="shared" si="63"/>
        <v>1226.3899999999999</v>
      </c>
      <c r="P66" s="29">
        <f t="shared" si="63"/>
        <v>0</v>
      </c>
      <c r="Q66" s="29">
        <f t="shared" si="63"/>
        <v>1226.3899999999999</v>
      </c>
      <c r="R66" s="29">
        <f t="shared" si="63"/>
        <v>0</v>
      </c>
      <c r="S66" s="29">
        <f t="shared" si="63"/>
        <v>1226.3899999999999</v>
      </c>
      <c r="T66" s="29">
        <f t="shared" si="63"/>
        <v>0</v>
      </c>
      <c r="U66" s="29">
        <f t="shared" si="63"/>
        <v>1226.3899999999999</v>
      </c>
      <c r="V66" s="29">
        <f t="shared" si="63"/>
        <v>0</v>
      </c>
      <c r="W66" s="29">
        <f t="shared" si="63"/>
        <v>1226.3899999999999</v>
      </c>
      <c r="X66" s="29">
        <f t="shared" si="63"/>
        <v>0</v>
      </c>
      <c r="Y66" s="29">
        <f t="shared" si="63"/>
        <v>1226.3899999999999</v>
      </c>
    </row>
    <row r="67" spans="1:25" x14ac:dyDescent="0.25">
      <c r="A67" s="25" t="s">
        <v>87</v>
      </c>
      <c r="B67" s="25">
        <v>290</v>
      </c>
      <c r="C67" s="51"/>
      <c r="D67" s="51"/>
      <c r="E67" s="51">
        <f>C67+D67</f>
        <v>0</v>
      </c>
      <c r="F67" s="51"/>
      <c r="G67" s="51">
        <f>E67+F67</f>
        <v>0</v>
      </c>
      <c r="H67" s="51">
        <v>3.5</v>
      </c>
      <c r="I67" s="51">
        <f>G67+H67</f>
        <v>3.5</v>
      </c>
      <c r="J67" s="51"/>
      <c r="K67" s="51">
        <f>J67+I67</f>
        <v>3.5</v>
      </c>
      <c r="L67" s="51"/>
      <c r="M67" s="51">
        <f>K67+L67</f>
        <v>3.5</v>
      </c>
      <c r="N67" s="51">
        <v>3.02</v>
      </c>
      <c r="O67" s="51">
        <f>M67+N67</f>
        <v>6.52</v>
      </c>
      <c r="P67" s="51"/>
      <c r="Q67" s="51">
        <f>O67+P67</f>
        <v>6.52</v>
      </c>
      <c r="R67" s="51"/>
      <c r="S67" s="51">
        <f>Q67+R67</f>
        <v>6.52</v>
      </c>
      <c r="T67" s="51"/>
      <c r="U67" s="51">
        <f>S67+T67</f>
        <v>6.52</v>
      </c>
      <c r="V67" s="51"/>
      <c r="W67" s="51">
        <f>U67+V67</f>
        <v>6.52</v>
      </c>
      <c r="X67" s="51"/>
      <c r="Y67" s="51">
        <f>W67+X67</f>
        <v>6.52</v>
      </c>
    </row>
    <row r="68" spans="1:25" x14ac:dyDescent="0.25">
      <c r="A68" s="15" t="s">
        <v>86</v>
      </c>
      <c r="B68" s="15">
        <v>290</v>
      </c>
      <c r="C68" s="48"/>
      <c r="D68" s="48"/>
      <c r="E68" s="51">
        <f>C68+D68</f>
        <v>0</v>
      </c>
      <c r="F68" s="48"/>
      <c r="G68" s="51">
        <f>E68+F68</f>
        <v>0</v>
      </c>
      <c r="H68" s="48">
        <v>609.91</v>
      </c>
      <c r="I68" s="51">
        <f>G68+H68</f>
        <v>609.91</v>
      </c>
      <c r="J68" s="48"/>
      <c r="K68" s="51">
        <f>J68+I68</f>
        <v>609.91</v>
      </c>
      <c r="L68" s="48"/>
      <c r="M68" s="51">
        <f>K68+L68</f>
        <v>609.91</v>
      </c>
      <c r="N68" s="48">
        <v>609.96</v>
      </c>
      <c r="O68" s="51">
        <f>M68+N68</f>
        <v>1219.8699999999999</v>
      </c>
      <c r="P68" s="48"/>
      <c r="Q68" s="51">
        <f>O68+P68</f>
        <v>1219.8699999999999</v>
      </c>
      <c r="R68" s="48"/>
      <c r="S68" s="51">
        <f>Q68+R68</f>
        <v>1219.8699999999999</v>
      </c>
      <c r="T68" s="48"/>
      <c r="U68" s="51">
        <f>S68+T68</f>
        <v>1219.8699999999999</v>
      </c>
      <c r="V68" s="48"/>
      <c r="W68" s="51">
        <f>U68+V68</f>
        <v>1219.8699999999999</v>
      </c>
      <c r="X68" s="48"/>
      <c r="Y68" s="51">
        <f>W68+X68</f>
        <v>1219.8699999999999</v>
      </c>
    </row>
    <row r="69" spans="1:25" x14ac:dyDescent="0.25">
      <c r="A69" s="73" t="s">
        <v>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</row>
    <row r="70" spans="1:25" x14ac:dyDescent="0.25">
      <c r="A70" s="76" t="s">
        <v>105</v>
      </c>
      <c r="B70" s="77"/>
      <c r="C70" s="52">
        <f>SUM(C71:C72)</f>
        <v>0</v>
      </c>
      <c r="D70" s="52">
        <f t="shared" ref="D70:Y70" si="64">SUM(D71:D72)</f>
        <v>0</v>
      </c>
      <c r="E70" s="52">
        <f t="shared" si="64"/>
        <v>0</v>
      </c>
      <c r="F70" s="52">
        <f t="shared" si="64"/>
        <v>0</v>
      </c>
      <c r="G70" s="52">
        <f t="shared" si="64"/>
        <v>0</v>
      </c>
      <c r="H70" s="52">
        <f t="shared" si="64"/>
        <v>0</v>
      </c>
      <c r="I70" s="52">
        <f t="shared" si="64"/>
        <v>0</v>
      </c>
      <c r="J70" s="52">
        <f t="shared" si="64"/>
        <v>4200</v>
      </c>
      <c r="K70" s="52">
        <f t="shared" si="64"/>
        <v>4200</v>
      </c>
      <c r="L70" s="52">
        <f t="shared" si="64"/>
        <v>3200</v>
      </c>
      <c r="M70" s="52">
        <f t="shared" si="64"/>
        <v>7400</v>
      </c>
      <c r="N70" s="52">
        <f t="shared" si="64"/>
        <v>0</v>
      </c>
      <c r="O70" s="52">
        <f t="shared" si="64"/>
        <v>7400</v>
      </c>
      <c r="P70" s="52">
        <f t="shared" si="64"/>
        <v>0</v>
      </c>
      <c r="Q70" s="52">
        <f t="shared" si="64"/>
        <v>7400</v>
      </c>
      <c r="R70" s="52">
        <f t="shared" si="64"/>
        <v>3600</v>
      </c>
      <c r="S70" s="52">
        <f t="shared" si="64"/>
        <v>11000</v>
      </c>
      <c r="T70" s="52">
        <f t="shared" si="64"/>
        <v>0</v>
      </c>
      <c r="U70" s="52">
        <f t="shared" si="64"/>
        <v>11000</v>
      </c>
      <c r="V70" s="52">
        <f t="shared" si="64"/>
        <v>0</v>
      </c>
      <c r="W70" s="52">
        <f t="shared" si="64"/>
        <v>11000</v>
      </c>
      <c r="X70" s="52">
        <f t="shared" si="64"/>
        <v>0</v>
      </c>
      <c r="Y70" s="52">
        <f t="shared" si="64"/>
        <v>11000</v>
      </c>
    </row>
    <row r="71" spans="1:25" s="5" customFormat="1" x14ac:dyDescent="0.25">
      <c r="A71" s="30" t="s">
        <v>116</v>
      </c>
      <c r="B71" s="31" t="s">
        <v>115</v>
      </c>
      <c r="C71" s="51"/>
      <c r="D71" s="51"/>
      <c r="E71" s="48">
        <f>C71+D71</f>
        <v>0</v>
      </c>
      <c r="F71" s="51"/>
      <c r="G71" s="48">
        <f>E71+F71</f>
        <v>0</v>
      </c>
      <c r="H71" s="51"/>
      <c r="I71" s="48">
        <f>G71+H71</f>
        <v>0</v>
      </c>
      <c r="J71" s="51"/>
      <c r="K71" s="48">
        <f>I71+J71</f>
        <v>0</v>
      </c>
      <c r="L71" s="51">
        <v>3200</v>
      </c>
      <c r="M71" s="48">
        <f>K71+L71</f>
        <v>3200</v>
      </c>
      <c r="N71" s="51"/>
      <c r="O71" s="48">
        <f>M71+N71</f>
        <v>3200</v>
      </c>
      <c r="P71" s="51"/>
      <c r="Q71" s="48">
        <f>O71+P71</f>
        <v>3200</v>
      </c>
      <c r="R71" s="51">
        <v>1500</v>
      </c>
      <c r="S71" s="48">
        <f>Q71+R71</f>
        <v>4700</v>
      </c>
      <c r="T71" s="51"/>
      <c r="U71" s="48">
        <f>S71+T71</f>
        <v>4700</v>
      </c>
      <c r="V71" s="51"/>
      <c r="W71" s="48">
        <f>U71+V71</f>
        <v>4700</v>
      </c>
      <c r="X71" s="51"/>
      <c r="Y71" s="48">
        <f>W71+X71</f>
        <v>4700</v>
      </c>
    </row>
    <row r="72" spans="1:25" x14ac:dyDescent="0.25">
      <c r="A72" s="15" t="s">
        <v>104</v>
      </c>
      <c r="B72" s="15">
        <v>340</v>
      </c>
      <c r="C72" s="48"/>
      <c r="D72" s="48"/>
      <c r="E72" s="48">
        <f>C72+D72</f>
        <v>0</v>
      </c>
      <c r="F72" s="48"/>
      <c r="G72" s="48">
        <f>E72+F72</f>
        <v>0</v>
      </c>
      <c r="H72" s="48"/>
      <c r="I72" s="48">
        <f>G72+H72</f>
        <v>0</v>
      </c>
      <c r="J72" s="48">
        <v>4200</v>
      </c>
      <c r="K72" s="48">
        <f>I72+J72</f>
        <v>4200</v>
      </c>
      <c r="L72" s="48"/>
      <c r="M72" s="48">
        <f>K72+L72</f>
        <v>4200</v>
      </c>
      <c r="N72" s="48"/>
      <c r="O72" s="48">
        <f>M72+N72</f>
        <v>4200</v>
      </c>
      <c r="P72" s="48"/>
      <c r="Q72" s="48">
        <f>O72+P72</f>
        <v>4200</v>
      </c>
      <c r="R72" s="48">
        <v>2100</v>
      </c>
      <c r="S72" s="48">
        <f>Q72+R72</f>
        <v>6300</v>
      </c>
      <c r="T72" s="48"/>
      <c r="U72" s="48">
        <f>S72+T72</f>
        <v>6300</v>
      </c>
      <c r="V72" s="48"/>
      <c r="W72" s="48">
        <f>U72+V72</f>
        <v>6300</v>
      </c>
      <c r="X72" s="48"/>
      <c r="Y72" s="48">
        <f>W72+X72</f>
        <v>6300</v>
      </c>
    </row>
    <row r="73" spans="1:25" x14ac:dyDescent="0.25">
      <c r="A73" s="57" t="s">
        <v>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8"/>
    </row>
    <row r="74" spans="1:25" x14ac:dyDescent="0.25">
      <c r="A74" s="71" t="s">
        <v>61</v>
      </c>
      <c r="B74" s="72"/>
      <c r="C74" s="53">
        <f>SUM(C76:C76)</f>
        <v>0</v>
      </c>
      <c r="D74" s="53">
        <f>SUM(D75:D76)</f>
        <v>3533</v>
      </c>
      <c r="E74" s="53">
        <f t="shared" ref="E74" si="65">C74+D74</f>
        <v>3533</v>
      </c>
      <c r="F74" s="53">
        <f>SUM(F76:F76)</f>
        <v>0</v>
      </c>
      <c r="G74" s="53">
        <f t="shared" ref="G74" si="66">E74+F74</f>
        <v>3533</v>
      </c>
      <c r="H74" s="53">
        <f>SUM(H76:H76)</f>
        <v>0</v>
      </c>
      <c r="I74" s="53">
        <f t="shared" ref="I74" si="67">G74+H74</f>
        <v>3533</v>
      </c>
      <c r="J74" s="53">
        <f>SUM(J76:J76)</f>
        <v>0</v>
      </c>
      <c r="K74" s="53">
        <f t="shared" ref="K74" si="68">I74+J74</f>
        <v>3533</v>
      </c>
      <c r="L74" s="53">
        <f>SUM(L76:L76)</f>
        <v>0</v>
      </c>
      <c r="M74" s="53">
        <f t="shared" ref="M74" si="69">K74+L74</f>
        <v>3533</v>
      </c>
      <c r="N74" s="53">
        <f>SUM(N76:N76)</f>
        <v>0</v>
      </c>
      <c r="O74" s="53">
        <f t="shared" ref="O74" si="70">M74+N74</f>
        <v>3533</v>
      </c>
      <c r="P74" s="53">
        <f>SUM(P76:P76)</f>
        <v>0</v>
      </c>
      <c r="Q74" s="53">
        <f t="shared" ref="Q74" si="71">O74+P74</f>
        <v>3533</v>
      </c>
      <c r="R74" s="53">
        <f>SUM(R76:R76)</f>
        <v>0</v>
      </c>
      <c r="S74" s="53">
        <f t="shared" ref="S74" si="72">Q74+R74</f>
        <v>3533</v>
      </c>
      <c r="T74" s="53">
        <f>SUM(T76:T76)</f>
        <v>0</v>
      </c>
      <c r="U74" s="53">
        <f t="shared" ref="U74" si="73">S74+T74</f>
        <v>3533</v>
      </c>
      <c r="V74" s="53">
        <f>SUM(V76:V76)</f>
        <v>0</v>
      </c>
      <c r="W74" s="53">
        <f t="shared" ref="W74" si="74">U74+V74</f>
        <v>3533</v>
      </c>
      <c r="X74" s="53">
        <f>SUM(X76:X76)</f>
        <v>0</v>
      </c>
      <c r="Y74" s="53">
        <f>SUM(Y75:Y76)</f>
        <v>3533</v>
      </c>
    </row>
    <row r="75" spans="1:25" x14ac:dyDescent="0.25">
      <c r="A75" s="32" t="s">
        <v>62</v>
      </c>
      <c r="B75" s="33" t="s">
        <v>64</v>
      </c>
      <c r="C75" s="51"/>
      <c r="D75" s="51">
        <v>1956</v>
      </c>
      <c r="E75" s="51">
        <f>C75+D75</f>
        <v>1956</v>
      </c>
      <c r="F75" s="51"/>
      <c r="G75" s="51">
        <f>E75+F75</f>
        <v>1956</v>
      </c>
      <c r="H75" s="51"/>
      <c r="I75" s="51">
        <f>G75+H75</f>
        <v>1956</v>
      </c>
      <c r="J75" s="51"/>
      <c r="K75" s="51">
        <f>I75+J75</f>
        <v>1956</v>
      </c>
      <c r="L75" s="51"/>
      <c r="M75" s="51">
        <f>K75+L75</f>
        <v>1956</v>
      </c>
      <c r="N75" s="51"/>
      <c r="O75" s="51">
        <f>M75+N75</f>
        <v>1956</v>
      </c>
      <c r="P75" s="51"/>
      <c r="Q75" s="51">
        <f>O75+P75</f>
        <v>1956</v>
      </c>
      <c r="R75" s="51"/>
      <c r="S75" s="51">
        <f>Q75+R75</f>
        <v>1956</v>
      </c>
      <c r="T75" s="51"/>
      <c r="U75" s="51">
        <f>S75+T75</f>
        <v>1956</v>
      </c>
      <c r="V75" s="51"/>
      <c r="W75" s="51">
        <f>U75+V75</f>
        <v>1956</v>
      </c>
      <c r="X75" s="51"/>
      <c r="Y75" s="51">
        <f>W75+X75</f>
        <v>1956</v>
      </c>
    </row>
    <row r="76" spans="1:25" x14ac:dyDescent="0.25">
      <c r="A76" s="15" t="s">
        <v>63</v>
      </c>
      <c r="B76" s="15">
        <v>340</v>
      </c>
      <c r="C76" s="48"/>
      <c r="D76" s="48">
        <v>1577</v>
      </c>
      <c r="E76" s="51">
        <f>C76+D76</f>
        <v>1577</v>
      </c>
      <c r="F76" s="48"/>
      <c r="G76" s="48">
        <f>E76+F76</f>
        <v>1577</v>
      </c>
      <c r="H76" s="48"/>
      <c r="I76" s="48">
        <f>G76+H76</f>
        <v>1577</v>
      </c>
      <c r="J76" s="48"/>
      <c r="K76" s="48">
        <f>I76+J76</f>
        <v>1577</v>
      </c>
      <c r="L76" s="48"/>
      <c r="M76" s="48">
        <f>K76+L76</f>
        <v>1577</v>
      </c>
      <c r="N76" s="48"/>
      <c r="O76" s="48">
        <f>M76+N76</f>
        <v>1577</v>
      </c>
      <c r="P76" s="48"/>
      <c r="Q76" s="48">
        <f>O76+P76</f>
        <v>1577</v>
      </c>
      <c r="R76" s="48"/>
      <c r="S76" s="48">
        <f>Q76+R76</f>
        <v>1577</v>
      </c>
      <c r="T76" s="48"/>
      <c r="U76" s="48">
        <f>S76+T76</f>
        <v>1577</v>
      </c>
      <c r="V76" s="48"/>
      <c r="W76" s="48">
        <f>U76+V76</f>
        <v>1577</v>
      </c>
      <c r="X76" s="48"/>
      <c r="Y76" s="48">
        <f>W76+X76</f>
        <v>1577</v>
      </c>
    </row>
    <row r="77" spans="1:25" x14ac:dyDescent="0.25">
      <c r="A77" s="73" t="s">
        <v>1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</row>
    <row r="78" spans="1:25" x14ac:dyDescent="0.25">
      <c r="A78" s="76" t="s">
        <v>44</v>
      </c>
      <c r="B78" s="77"/>
      <c r="C78" s="52">
        <f>SUM(C79:C79)</f>
        <v>0</v>
      </c>
      <c r="D78" s="52">
        <f>SUM(D79:D79)</f>
        <v>2225.5</v>
      </c>
      <c r="E78" s="52">
        <f t="shared" ref="E78" si="75">C78+D78</f>
        <v>2225.5</v>
      </c>
      <c r="F78" s="52">
        <f>SUM(F79:F79)</f>
        <v>0</v>
      </c>
      <c r="G78" s="52">
        <f t="shared" ref="G78" si="76">E78+F78</f>
        <v>2225.5</v>
      </c>
      <c r="H78" s="52">
        <f>SUM(H79:H79)</f>
        <v>0</v>
      </c>
      <c r="I78" s="52">
        <f t="shared" ref="I78" si="77">G78+H78</f>
        <v>2225.5</v>
      </c>
      <c r="J78" s="52">
        <f>SUM(J79:J79)</f>
        <v>0</v>
      </c>
      <c r="K78" s="52">
        <f t="shared" ref="K78" si="78">I78+J78</f>
        <v>2225.5</v>
      </c>
      <c r="L78" s="52">
        <f>SUM(L79:L79)</f>
        <v>0</v>
      </c>
      <c r="M78" s="52">
        <f t="shared" ref="M78" si="79">K78+L78</f>
        <v>2225.5</v>
      </c>
      <c r="N78" s="52">
        <f>SUM(N79:N79)</f>
        <v>0</v>
      </c>
      <c r="O78" s="52">
        <f t="shared" ref="O78" si="80">M78+N78</f>
        <v>2225.5</v>
      </c>
      <c r="P78" s="52">
        <f>SUM(P79:P79)</f>
        <v>0</v>
      </c>
      <c r="Q78" s="52">
        <f t="shared" ref="Q78" si="81">O78+P78</f>
        <v>2225.5</v>
      </c>
      <c r="R78" s="52">
        <f>SUM(R79:R79)</f>
        <v>0</v>
      </c>
      <c r="S78" s="52">
        <f t="shared" ref="S78" si="82">Q78+R78</f>
        <v>2225.5</v>
      </c>
      <c r="T78" s="52">
        <f>SUM(T79:T79)</f>
        <v>0</v>
      </c>
      <c r="U78" s="52">
        <f t="shared" ref="U78" si="83">S78+T78</f>
        <v>2225.5</v>
      </c>
      <c r="V78" s="52">
        <f>SUM(V79:V79)</f>
        <v>0</v>
      </c>
      <c r="W78" s="52">
        <f t="shared" ref="W78" si="84">U78+V78</f>
        <v>2225.5</v>
      </c>
      <c r="X78" s="52">
        <f>SUM(X79:X79)</f>
        <v>0</v>
      </c>
      <c r="Y78" s="52">
        <f>SUM(Y79:Y79)</f>
        <v>2225.5</v>
      </c>
    </row>
    <row r="79" spans="1:25" x14ac:dyDescent="0.25">
      <c r="A79" s="15" t="s">
        <v>146</v>
      </c>
      <c r="B79" s="15">
        <v>290</v>
      </c>
      <c r="C79" s="48"/>
      <c r="D79" s="48">
        <v>2225.5</v>
      </c>
      <c r="E79" s="48">
        <f>C79+D79</f>
        <v>2225.5</v>
      </c>
      <c r="F79" s="48"/>
      <c r="G79" s="48">
        <f>E79+F79</f>
        <v>2225.5</v>
      </c>
      <c r="H79" s="48"/>
      <c r="I79" s="48">
        <f>G79+H79</f>
        <v>2225.5</v>
      </c>
      <c r="J79" s="48"/>
      <c r="K79" s="48">
        <f>I79+J79</f>
        <v>2225.5</v>
      </c>
      <c r="L79" s="48"/>
      <c r="M79" s="48">
        <f>K79+L79</f>
        <v>2225.5</v>
      </c>
      <c r="N79" s="48"/>
      <c r="O79" s="48">
        <f>M79+N79</f>
        <v>2225.5</v>
      </c>
      <c r="P79" s="48"/>
      <c r="Q79" s="48">
        <f>O79+P79</f>
        <v>2225.5</v>
      </c>
      <c r="R79" s="48"/>
      <c r="S79" s="48">
        <f>Q79+R79</f>
        <v>2225.5</v>
      </c>
      <c r="T79" s="48"/>
      <c r="U79" s="48">
        <f>S79+T79</f>
        <v>2225.5</v>
      </c>
      <c r="V79" s="48"/>
      <c r="W79" s="48">
        <f>U79+V79</f>
        <v>2225.5</v>
      </c>
      <c r="X79" s="48"/>
      <c r="Y79" s="48">
        <f>W79+X79</f>
        <v>2225.5</v>
      </c>
    </row>
    <row r="80" spans="1:25" x14ac:dyDescent="0.25">
      <c r="A80" s="78" t="s">
        <v>1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0"/>
    </row>
    <row r="81" spans="1:25" x14ac:dyDescent="0.25">
      <c r="A81" s="81" t="s">
        <v>40</v>
      </c>
      <c r="B81" s="82"/>
      <c r="C81" s="54">
        <f>C82</f>
        <v>0</v>
      </c>
      <c r="D81" s="54">
        <f t="shared" ref="D81:Y81" si="85">D82</f>
        <v>6742.89</v>
      </c>
      <c r="E81" s="54">
        <f t="shared" si="85"/>
        <v>6742.89</v>
      </c>
      <c r="F81" s="54">
        <f t="shared" si="85"/>
        <v>6272.46</v>
      </c>
      <c r="G81" s="54">
        <f t="shared" si="85"/>
        <v>13015.35</v>
      </c>
      <c r="H81" s="54">
        <f t="shared" si="85"/>
        <v>5174.7700000000004</v>
      </c>
      <c r="I81" s="54">
        <f t="shared" si="85"/>
        <v>18190.120000000003</v>
      </c>
      <c r="J81" s="54">
        <f t="shared" si="85"/>
        <v>3136.23</v>
      </c>
      <c r="K81" s="54">
        <f t="shared" si="85"/>
        <v>21326.350000000002</v>
      </c>
      <c r="L81" s="54">
        <f t="shared" si="85"/>
        <v>8969.6200000000008</v>
      </c>
      <c r="M81" s="54">
        <f t="shared" si="85"/>
        <v>30295.97</v>
      </c>
      <c r="N81" s="54">
        <f t="shared" si="85"/>
        <v>0</v>
      </c>
      <c r="O81" s="54">
        <f t="shared" si="85"/>
        <v>30295.97</v>
      </c>
      <c r="P81" s="54">
        <f t="shared" si="85"/>
        <v>0</v>
      </c>
      <c r="Q81" s="54">
        <f t="shared" si="85"/>
        <v>30295.97</v>
      </c>
      <c r="R81" s="54">
        <f t="shared" si="85"/>
        <v>0</v>
      </c>
      <c r="S81" s="54">
        <f t="shared" si="85"/>
        <v>30295.97</v>
      </c>
      <c r="T81" s="54">
        <f t="shared" si="85"/>
        <v>0</v>
      </c>
      <c r="U81" s="54">
        <f t="shared" si="85"/>
        <v>30295.97</v>
      </c>
      <c r="V81" s="54">
        <f t="shared" si="85"/>
        <v>0</v>
      </c>
      <c r="W81" s="54">
        <f t="shared" si="85"/>
        <v>30295.97</v>
      </c>
      <c r="X81" s="54">
        <f t="shared" si="85"/>
        <v>0</v>
      </c>
      <c r="Y81" s="54">
        <f t="shared" si="85"/>
        <v>30295.97</v>
      </c>
    </row>
    <row r="82" spans="1:25" s="4" customFormat="1" ht="14.25" customHeight="1" x14ac:dyDescent="0.25">
      <c r="A82" s="125" t="s">
        <v>142</v>
      </c>
      <c r="B82" s="25">
        <v>223</v>
      </c>
      <c r="C82" s="51"/>
      <c r="D82" s="51">
        <v>6742.89</v>
      </c>
      <c r="E82" s="51">
        <f>C82+D82</f>
        <v>6742.89</v>
      </c>
      <c r="F82" s="51">
        <v>6272.46</v>
      </c>
      <c r="G82" s="51">
        <f>E82+F82</f>
        <v>13015.35</v>
      </c>
      <c r="H82" s="51">
        <v>5174.7700000000004</v>
      </c>
      <c r="I82" s="51">
        <f>G82+H82</f>
        <v>18190.120000000003</v>
      </c>
      <c r="J82" s="51">
        <f>3136.23</f>
        <v>3136.23</v>
      </c>
      <c r="K82" s="51">
        <f>I82+J82</f>
        <v>21326.350000000002</v>
      </c>
      <c r="L82" s="51">
        <v>8969.6200000000008</v>
      </c>
      <c r="M82" s="51">
        <f>K82+L82</f>
        <v>30295.97</v>
      </c>
      <c r="N82" s="51"/>
      <c r="O82" s="51">
        <f>M82+N82</f>
        <v>30295.97</v>
      </c>
      <c r="P82" s="51"/>
      <c r="Q82" s="51">
        <f>O82+P82</f>
        <v>30295.97</v>
      </c>
      <c r="R82" s="51"/>
      <c r="S82" s="51">
        <f>Q82+R82</f>
        <v>30295.97</v>
      </c>
      <c r="T82" s="51"/>
      <c r="U82" s="51">
        <f>S82+T82</f>
        <v>30295.97</v>
      </c>
      <c r="V82" s="51"/>
      <c r="W82" s="51">
        <f>U82+V82</f>
        <v>30295.97</v>
      </c>
      <c r="X82" s="51"/>
      <c r="Y82" s="51">
        <f>W82+X82</f>
        <v>30295.97</v>
      </c>
    </row>
    <row r="83" spans="1:25" x14ac:dyDescent="0.25">
      <c r="A83" s="127" t="s">
        <v>1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9"/>
    </row>
    <row r="84" spans="1:25" x14ac:dyDescent="0.25">
      <c r="A84" s="131" t="s">
        <v>136</v>
      </c>
      <c r="B84" s="132"/>
      <c r="C84" s="130">
        <f>C85</f>
        <v>0</v>
      </c>
      <c r="D84" s="130">
        <f t="shared" ref="D84:Y84" si="86">D85</f>
        <v>0</v>
      </c>
      <c r="E84" s="130">
        <f t="shared" si="86"/>
        <v>0</v>
      </c>
      <c r="F84" s="130">
        <f t="shared" si="86"/>
        <v>0</v>
      </c>
      <c r="G84" s="130">
        <f t="shared" si="86"/>
        <v>0</v>
      </c>
      <c r="H84" s="130">
        <f t="shared" si="86"/>
        <v>0</v>
      </c>
      <c r="I84" s="130">
        <f t="shared" si="86"/>
        <v>0</v>
      </c>
      <c r="J84" s="130">
        <f t="shared" si="86"/>
        <v>0</v>
      </c>
      <c r="K84" s="130">
        <f t="shared" si="86"/>
        <v>0</v>
      </c>
      <c r="L84" s="130">
        <f t="shared" si="86"/>
        <v>0</v>
      </c>
      <c r="M84" s="130">
        <f t="shared" si="86"/>
        <v>0</v>
      </c>
      <c r="N84" s="130">
        <f t="shared" si="86"/>
        <v>0</v>
      </c>
      <c r="O84" s="130">
        <f t="shared" si="86"/>
        <v>0</v>
      </c>
      <c r="P84" s="130">
        <f t="shared" si="86"/>
        <v>0</v>
      </c>
      <c r="Q84" s="130">
        <f t="shared" si="86"/>
        <v>0</v>
      </c>
      <c r="R84" s="130">
        <f t="shared" si="86"/>
        <v>19500</v>
      </c>
      <c r="S84" s="130">
        <f t="shared" si="86"/>
        <v>19500</v>
      </c>
      <c r="T84" s="130">
        <f t="shared" si="86"/>
        <v>0</v>
      </c>
      <c r="U84" s="130">
        <f t="shared" si="86"/>
        <v>19500</v>
      </c>
      <c r="V84" s="130">
        <f t="shared" si="86"/>
        <v>0</v>
      </c>
      <c r="W84" s="130">
        <f t="shared" si="86"/>
        <v>19500</v>
      </c>
      <c r="X84" s="130">
        <f t="shared" si="86"/>
        <v>0</v>
      </c>
      <c r="Y84" s="130">
        <f t="shared" si="86"/>
        <v>19500</v>
      </c>
    </row>
    <row r="85" spans="1:25" x14ac:dyDescent="0.25">
      <c r="A85" s="126" t="s">
        <v>137</v>
      </c>
      <c r="B85" s="15">
        <v>251</v>
      </c>
      <c r="C85" s="48"/>
      <c r="D85" s="48"/>
      <c r="E85" s="48">
        <f>C85+D85</f>
        <v>0</v>
      </c>
      <c r="F85" s="48"/>
      <c r="G85" s="48">
        <f>E85+F85</f>
        <v>0</v>
      </c>
      <c r="H85" s="48"/>
      <c r="I85" s="48">
        <f>G85+H85</f>
        <v>0</v>
      </c>
      <c r="J85" s="48"/>
      <c r="K85" s="48">
        <f>I85+J85</f>
        <v>0</v>
      </c>
      <c r="L85" s="48"/>
      <c r="M85" s="48">
        <f>K85+L85</f>
        <v>0</v>
      </c>
      <c r="N85" s="48"/>
      <c r="O85" s="48">
        <f>M85+N85</f>
        <v>0</v>
      </c>
      <c r="P85" s="48"/>
      <c r="Q85" s="48">
        <f>O85+P85</f>
        <v>0</v>
      </c>
      <c r="R85" s="48">
        <v>19500</v>
      </c>
      <c r="S85" s="48">
        <f>Q85+R85</f>
        <v>19500</v>
      </c>
      <c r="T85" s="48"/>
      <c r="U85" s="48">
        <f>S85+T85</f>
        <v>19500</v>
      </c>
      <c r="V85" s="48"/>
      <c r="W85" s="48">
        <f>U85+V85</f>
        <v>19500</v>
      </c>
      <c r="X85" s="48"/>
      <c r="Y85" s="48">
        <f>W85+X85</f>
        <v>19500</v>
      </c>
    </row>
    <row r="86" spans="1:25" x14ac:dyDescent="0.25">
      <c r="A86" s="63" t="s">
        <v>1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</row>
    <row r="87" spans="1:25" x14ac:dyDescent="0.25">
      <c r="A87" s="103" t="s">
        <v>48</v>
      </c>
      <c r="B87" s="104"/>
      <c r="C87" s="50">
        <f>SUM(C88:C88)</f>
        <v>0</v>
      </c>
      <c r="D87" s="50">
        <f>SUM(D88:D88)</f>
        <v>25000</v>
      </c>
      <c r="E87" s="50">
        <f t="shared" ref="E87" si="87">C87+D87</f>
        <v>25000</v>
      </c>
      <c r="F87" s="50">
        <f>SUM(F88:F88)</f>
        <v>0</v>
      </c>
      <c r="G87" s="50">
        <f t="shared" ref="G87" si="88">E87+F87</f>
        <v>25000</v>
      </c>
      <c r="H87" s="50">
        <f>SUM(H88:H88)</f>
        <v>0</v>
      </c>
      <c r="I87" s="50">
        <f t="shared" ref="I87" si="89">G87+H87</f>
        <v>25000</v>
      </c>
      <c r="J87" s="50">
        <f>SUM(J88:J88)</f>
        <v>0</v>
      </c>
      <c r="K87" s="50">
        <f t="shared" ref="K87" si="90">I87+J87</f>
        <v>25000</v>
      </c>
      <c r="L87" s="50">
        <f>SUM(L88:L88)</f>
        <v>0</v>
      </c>
      <c r="M87" s="50">
        <f t="shared" ref="M87" si="91">K87+L87</f>
        <v>25000</v>
      </c>
      <c r="N87" s="50">
        <f>SUM(N88:N88)</f>
        <v>0</v>
      </c>
      <c r="O87" s="50">
        <f t="shared" ref="O87" si="92">M87+N87</f>
        <v>25000</v>
      </c>
      <c r="P87" s="50">
        <f>SUM(P88:P88)</f>
        <v>0</v>
      </c>
      <c r="Q87" s="50">
        <f t="shared" ref="Q87" si="93">O87+P87</f>
        <v>25000</v>
      </c>
      <c r="R87" s="50">
        <f>SUM(R88:R88)</f>
        <v>0</v>
      </c>
      <c r="S87" s="50">
        <f t="shared" ref="S87" si="94">Q87+R87</f>
        <v>25000</v>
      </c>
      <c r="T87" s="50">
        <f>SUM(T88:T88)</f>
        <v>0</v>
      </c>
      <c r="U87" s="50">
        <f t="shared" ref="U87" si="95">S87+T87</f>
        <v>25000</v>
      </c>
      <c r="V87" s="50">
        <f>SUM(V88:V88)</f>
        <v>0</v>
      </c>
      <c r="W87" s="50">
        <f t="shared" ref="W87" si="96">U87+V87</f>
        <v>25000</v>
      </c>
      <c r="X87" s="50">
        <f>SUM(X88:X88)</f>
        <v>0</v>
      </c>
      <c r="Y87" s="50">
        <f>SUM(Y88:Y88)</f>
        <v>25000</v>
      </c>
    </row>
    <row r="88" spans="1:25" x14ac:dyDescent="0.25">
      <c r="A88" s="15" t="s">
        <v>47</v>
      </c>
      <c r="B88" s="15">
        <v>226</v>
      </c>
      <c r="C88" s="48"/>
      <c r="D88" s="48">
        <v>25000</v>
      </c>
      <c r="E88" s="48">
        <f>C88+D88</f>
        <v>25000</v>
      </c>
      <c r="F88" s="48"/>
      <c r="G88" s="48">
        <f>E88+F88</f>
        <v>25000</v>
      </c>
      <c r="H88" s="48"/>
      <c r="I88" s="48">
        <f>G88+H88</f>
        <v>25000</v>
      </c>
      <c r="J88" s="48"/>
      <c r="K88" s="48">
        <f>I88+J88</f>
        <v>25000</v>
      </c>
      <c r="L88" s="48"/>
      <c r="M88" s="48">
        <f>K88+L88</f>
        <v>25000</v>
      </c>
      <c r="N88" s="48"/>
      <c r="O88" s="48">
        <f>M88+N88</f>
        <v>25000</v>
      </c>
      <c r="P88" s="48"/>
      <c r="Q88" s="48">
        <f>O88+P88</f>
        <v>25000</v>
      </c>
      <c r="R88" s="48"/>
      <c r="S88" s="48">
        <f>Q88+R88</f>
        <v>25000</v>
      </c>
      <c r="T88" s="48"/>
      <c r="U88" s="48">
        <f>S88+T88</f>
        <v>25000</v>
      </c>
      <c r="V88" s="48"/>
      <c r="W88" s="48">
        <f>U88+V88</f>
        <v>25000</v>
      </c>
      <c r="X88" s="48"/>
      <c r="Y88" s="48">
        <f>W88+X88</f>
        <v>25000</v>
      </c>
    </row>
    <row r="89" spans="1:25" x14ac:dyDescent="0.25">
      <c r="A89" s="60" t="s">
        <v>1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</row>
    <row r="90" spans="1:25" x14ac:dyDescent="0.25">
      <c r="A90" s="19" t="s">
        <v>49</v>
      </c>
      <c r="B90" s="20"/>
      <c r="C90" s="49">
        <f>SUM(C91:C92)</f>
        <v>0</v>
      </c>
      <c r="D90" s="49">
        <f>SUM(D91:D92)</f>
        <v>43815.49</v>
      </c>
      <c r="E90" s="49">
        <f t="shared" ref="E90" si="97">C90+D90</f>
        <v>43815.49</v>
      </c>
      <c r="F90" s="49">
        <f>SUM(F91:F92)</f>
        <v>33306.5</v>
      </c>
      <c r="G90" s="49">
        <f t="shared" ref="G90" si="98">E90+F90</f>
        <v>77121.989999999991</v>
      </c>
      <c r="H90" s="49">
        <f>SUM(H91:H92)</f>
        <v>33306.49</v>
      </c>
      <c r="I90" s="49">
        <f t="shared" ref="I90" si="99">G90+H90</f>
        <v>110428.47999999998</v>
      </c>
      <c r="J90" s="49">
        <f>SUM(J91:J92)</f>
        <v>39696.449999999997</v>
      </c>
      <c r="K90" s="49">
        <f t="shared" ref="K90" si="100">I90+J90</f>
        <v>150124.93</v>
      </c>
      <c r="L90" s="49">
        <f>SUM(L91:L92)</f>
        <v>35838.74</v>
      </c>
      <c r="M90" s="49">
        <f t="shared" ref="M90" si="101">K90+L90</f>
        <v>185963.66999999998</v>
      </c>
      <c r="N90" s="49">
        <f>SUM(N91:N92)</f>
        <v>34791.03</v>
      </c>
      <c r="O90" s="49">
        <f t="shared" ref="O90" si="102">M90+N90</f>
        <v>220754.69999999998</v>
      </c>
      <c r="P90" s="49">
        <f>SUM(P91:P92)</f>
        <v>47649.55</v>
      </c>
      <c r="Q90" s="49">
        <f t="shared" ref="Q90" si="103">O90+P90</f>
        <v>268404.25</v>
      </c>
      <c r="R90" s="49">
        <f>SUM(R91:R92)</f>
        <v>27448.369999999995</v>
      </c>
      <c r="S90" s="49">
        <f t="shared" ref="S90" si="104">Q90+R90</f>
        <v>295852.62</v>
      </c>
      <c r="T90" s="49">
        <f>SUM(T91:T92)</f>
        <v>0</v>
      </c>
      <c r="U90" s="49">
        <f t="shared" ref="U90" si="105">S90+T90</f>
        <v>295852.62</v>
      </c>
      <c r="V90" s="49">
        <f>SUM(V91:V92)</f>
        <v>0</v>
      </c>
      <c r="W90" s="49">
        <f t="shared" ref="W90" si="106">U90+V90</f>
        <v>295852.62</v>
      </c>
      <c r="X90" s="49">
        <f>SUM(X91:X92)</f>
        <v>0</v>
      </c>
      <c r="Y90" s="49">
        <f>SUM(Y91:Y92)</f>
        <v>295852.62</v>
      </c>
    </row>
    <row r="91" spans="1:25" x14ac:dyDescent="0.25">
      <c r="A91" s="15" t="s">
        <v>18</v>
      </c>
      <c r="B91" s="15">
        <v>211</v>
      </c>
      <c r="C91" s="48"/>
      <c r="D91" s="48">
        <f>25902+10509</f>
        <v>36411</v>
      </c>
      <c r="E91" s="48">
        <f>C91+D91</f>
        <v>36411</v>
      </c>
      <c r="F91" s="48">
        <f>2092+13301+9300+1209</f>
        <v>25902</v>
      </c>
      <c r="G91" s="48">
        <f>E91+F91</f>
        <v>62313</v>
      </c>
      <c r="H91" s="48">
        <f>13299+2094+1209+9300</f>
        <v>25902</v>
      </c>
      <c r="I91" s="48">
        <f>G91+H91</f>
        <v>88215</v>
      </c>
      <c r="J91" s="48">
        <f>2092+13301+1144+8800+943+6011.97</f>
        <v>32291.97</v>
      </c>
      <c r="K91" s="48">
        <f>I91+J91</f>
        <v>120506.97</v>
      </c>
      <c r="L91" s="48">
        <f>2118+11828.61+1997.09+1248+7300+2300</f>
        <v>26791.7</v>
      </c>
      <c r="M91" s="48">
        <f>K91+L91</f>
        <v>147298.67000000001</v>
      </c>
      <c r="N91" s="48">
        <f>13687.87+2158+9600+1248</f>
        <v>26693.870000000003</v>
      </c>
      <c r="O91" s="48">
        <f>M91+N91</f>
        <v>173992.54</v>
      </c>
      <c r="P91" s="48">
        <f>3652+25188.87+9688.04+1477</f>
        <v>40005.910000000003</v>
      </c>
      <c r="Q91" s="48">
        <f>O91+P91</f>
        <v>213998.45</v>
      </c>
      <c r="R91" s="48">
        <f>1378+8425.06+923+7100</f>
        <v>17826.059999999998</v>
      </c>
      <c r="S91" s="48">
        <f>Q91+R91</f>
        <v>231824.51</v>
      </c>
      <c r="T91" s="48"/>
      <c r="U91" s="48">
        <f>S91+T91</f>
        <v>231824.51</v>
      </c>
      <c r="V91" s="48"/>
      <c r="W91" s="48">
        <f>U91+V91</f>
        <v>231824.51</v>
      </c>
      <c r="X91" s="48"/>
      <c r="Y91" s="48">
        <f>W91+X91</f>
        <v>231824.51</v>
      </c>
    </row>
    <row r="92" spans="1:25" x14ac:dyDescent="0.25">
      <c r="A92" s="15" t="s">
        <v>20</v>
      </c>
      <c r="B92" s="15">
        <v>213</v>
      </c>
      <c r="C92" s="48"/>
      <c r="D92" s="48">
        <v>7404.49</v>
      </c>
      <c r="E92" s="48">
        <f>C92+D92</f>
        <v>7404.49</v>
      </c>
      <c r="F92" s="48">
        <f>5558.2+681.05+1124.67+40.58</f>
        <v>7404.5</v>
      </c>
      <c r="G92" s="48">
        <f>E92+F92</f>
        <v>14808.99</v>
      </c>
      <c r="H92" s="48">
        <f>5558.21+681.03+1124.66+40.59</f>
        <v>7404.49</v>
      </c>
      <c r="I92" s="48">
        <f>G92+H92</f>
        <v>22213.48</v>
      </c>
      <c r="J92" s="48">
        <f>7404.48</f>
        <v>7404.48</v>
      </c>
      <c r="K92" s="48">
        <f>I92+J92</f>
        <v>29617.96</v>
      </c>
      <c r="L92" s="48">
        <f>6631.61+882.32+1478.64+54.47</f>
        <v>9047.0399999999991</v>
      </c>
      <c r="M92" s="48">
        <f>K92+L92</f>
        <v>38665</v>
      </c>
      <c r="N92" s="48">
        <f>6185.95+704+1165.05+42.16</f>
        <v>8097.16</v>
      </c>
      <c r="O92" s="48">
        <f>M92+N92</f>
        <v>46762.16</v>
      </c>
      <c r="P92" s="48">
        <f>5732.42+704+1165.05+42.17</f>
        <v>7643.64</v>
      </c>
      <c r="Q92" s="48">
        <f>O92+P92</f>
        <v>54405.8</v>
      </c>
      <c r="R92" s="48">
        <f>7258.95+878.46+1434.01+50.89</f>
        <v>9622.31</v>
      </c>
      <c r="S92" s="48">
        <f>Q92+R92</f>
        <v>64028.11</v>
      </c>
      <c r="T92" s="48"/>
      <c r="U92" s="48">
        <f>S92+T92</f>
        <v>64028.11</v>
      </c>
      <c r="V92" s="48"/>
      <c r="W92" s="48">
        <f>U92+V92</f>
        <v>64028.11</v>
      </c>
      <c r="X92" s="48"/>
      <c r="Y92" s="48">
        <f>W92+X92</f>
        <v>64028.11</v>
      </c>
    </row>
    <row r="93" spans="1:25" x14ac:dyDescent="0.25">
      <c r="A93" s="60" t="s">
        <v>1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2"/>
    </row>
    <row r="94" spans="1:25" x14ac:dyDescent="0.25">
      <c r="A94" s="19" t="s">
        <v>50</v>
      </c>
      <c r="B94" s="20"/>
      <c r="C94" s="49">
        <f t="shared" ref="C94:Y94" si="107">C95+C96+C103+C100</f>
        <v>0</v>
      </c>
      <c r="D94" s="49">
        <f t="shared" si="107"/>
        <v>0</v>
      </c>
      <c r="E94" s="49">
        <f t="shared" si="107"/>
        <v>0</v>
      </c>
      <c r="F94" s="49">
        <f t="shared" si="107"/>
        <v>0</v>
      </c>
      <c r="G94" s="49">
        <f t="shared" si="107"/>
        <v>0</v>
      </c>
      <c r="H94" s="49">
        <f t="shared" si="107"/>
        <v>2975</v>
      </c>
      <c r="I94" s="49">
        <f t="shared" si="107"/>
        <v>2975</v>
      </c>
      <c r="J94" s="49">
        <f t="shared" si="107"/>
        <v>3850.74</v>
      </c>
      <c r="K94" s="49">
        <f t="shared" si="107"/>
        <v>6825.74</v>
      </c>
      <c r="L94" s="49">
        <f t="shared" si="107"/>
        <v>6219.38</v>
      </c>
      <c r="M94" s="49">
        <f t="shared" si="107"/>
        <v>13045.119999999999</v>
      </c>
      <c r="N94" s="49">
        <f t="shared" si="107"/>
        <v>0</v>
      </c>
      <c r="O94" s="49">
        <f t="shared" si="107"/>
        <v>13045.119999999999</v>
      </c>
      <c r="P94" s="49">
        <f t="shared" si="107"/>
        <v>0</v>
      </c>
      <c r="Q94" s="49">
        <f t="shared" si="107"/>
        <v>13045.119999999999</v>
      </c>
      <c r="R94" s="49">
        <f t="shared" si="107"/>
        <v>2490</v>
      </c>
      <c r="S94" s="49">
        <f t="shared" si="107"/>
        <v>15535.119999999999</v>
      </c>
      <c r="T94" s="49">
        <f t="shared" si="107"/>
        <v>0</v>
      </c>
      <c r="U94" s="49">
        <f t="shared" si="107"/>
        <v>15535.119999999999</v>
      </c>
      <c r="V94" s="49">
        <f t="shared" si="107"/>
        <v>0</v>
      </c>
      <c r="W94" s="49">
        <f t="shared" si="107"/>
        <v>15535.119999999999</v>
      </c>
      <c r="X94" s="49">
        <f t="shared" si="107"/>
        <v>0</v>
      </c>
      <c r="Y94" s="49">
        <f t="shared" si="107"/>
        <v>15535.119999999999</v>
      </c>
    </row>
    <row r="95" spans="1:25" x14ac:dyDescent="0.25">
      <c r="A95" s="25" t="s">
        <v>140</v>
      </c>
      <c r="B95" s="25">
        <v>221</v>
      </c>
      <c r="C95" s="55"/>
      <c r="D95" s="55"/>
      <c r="E95" s="51">
        <f>C95+D95</f>
        <v>0</v>
      </c>
      <c r="F95" s="55"/>
      <c r="G95" s="51">
        <f>E95+F95</f>
        <v>0</v>
      </c>
      <c r="H95" s="51">
        <v>1900</v>
      </c>
      <c r="I95" s="51">
        <f>G95+H95</f>
        <v>1900</v>
      </c>
      <c r="J95" s="55"/>
      <c r="K95" s="51">
        <f>I95+J95</f>
        <v>1900</v>
      </c>
      <c r="L95" s="51">
        <v>1900</v>
      </c>
      <c r="M95" s="51">
        <f>K95+L95</f>
        <v>3800</v>
      </c>
      <c r="N95" s="55"/>
      <c r="O95" s="51">
        <f>M95+N95</f>
        <v>3800</v>
      </c>
      <c r="P95" s="55"/>
      <c r="Q95" s="51">
        <f>O95+P95</f>
        <v>3800</v>
      </c>
      <c r="R95" s="55"/>
      <c r="S95" s="51">
        <f>Q95+R95</f>
        <v>3800</v>
      </c>
      <c r="T95" s="55"/>
      <c r="U95" s="51">
        <f>S95+T95</f>
        <v>3800</v>
      </c>
      <c r="V95" s="55"/>
      <c r="W95" s="51">
        <f>U95+V95</f>
        <v>3800</v>
      </c>
      <c r="X95" s="55"/>
      <c r="Y95" s="51">
        <f>W95+X95</f>
        <v>3800</v>
      </c>
    </row>
    <row r="96" spans="1:25" x14ac:dyDescent="0.25">
      <c r="A96" s="83" t="s">
        <v>54</v>
      </c>
      <c r="B96" s="84"/>
      <c r="C96" s="49">
        <f>SUM(C97:C99)</f>
        <v>0</v>
      </c>
      <c r="D96" s="49">
        <f t="shared" ref="D96:Y96" si="108">SUM(D97:D99)</f>
        <v>0</v>
      </c>
      <c r="E96" s="49">
        <f t="shared" si="108"/>
        <v>0</v>
      </c>
      <c r="F96" s="49">
        <f t="shared" si="108"/>
        <v>0</v>
      </c>
      <c r="G96" s="49">
        <f t="shared" si="108"/>
        <v>0</v>
      </c>
      <c r="H96" s="49">
        <f t="shared" si="108"/>
        <v>1075</v>
      </c>
      <c r="I96" s="49">
        <f t="shared" si="108"/>
        <v>1075</v>
      </c>
      <c r="J96" s="49">
        <f t="shared" si="108"/>
        <v>1922.74</v>
      </c>
      <c r="K96" s="49">
        <f t="shared" si="108"/>
        <v>2997.74</v>
      </c>
      <c r="L96" s="49">
        <f t="shared" si="108"/>
        <v>1152.22</v>
      </c>
      <c r="M96" s="49">
        <f t="shared" si="108"/>
        <v>4149.96</v>
      </c>
      <c r="N96" s="49">
        <f t="shared" si="108"/>
        <v>0</v>
      </c>
      <c r="O96" s="49">
        <f t="shared" si="108"/>
        <v>4149.96</v>
      </c>
      <c r="P96" s="49">
        <f t="shared" si="108"/>
        <v>0</v>
      </c>
      <c r="Q96" s="49">
        <f t="shared" si="108"/>
        <v>4149.96</v>
      </c>
      <c r="R96" s="49">
        <f t="shared" si="108"/>
        <v>0</v>
      </c>
      <c r="S96" s="49">
        <f t="shared" si="108"/>
        <v>4149.96</v>
      </c>
      <c r="T96" s="49">
        <f t="shared" si="108"/>
        <v>0</v>
      </c>
      <c r="U96" s="49">
        <f t="shared" si="108"/>
        <v>4149.96</v>
      </c>
      <c r="V96" s="49">
        <f t="shared" si="108"/>
        <v>0</v>
      </c>
      <c r="W96" s="49">
        <f t="shared" si="108"/>
        <v>4149.96</v>
      </c>
      <c r="X96" s="49">
        <f t="shared" si="108"/>
        <v>0</v>
      </c>
      <c r="Y96" s="49">
        <f t="shared" si="108"/>
        <v>4149.96</v>
      </c>
    </row>
    <row r="97" spans="1:25" x14ac:dyDescent="0.25">
      <c r="A97" s="25" t="s">
        <v>70</v>
      </c>
      <c r="B97" s="25">
        <v>223</v>
      </c>
      <c r="C97" s="55"/>
      <c r="D97" s="55"/>
      <c r="E97" s="51">
        <f>C97+D97</f>
        <v>0</v>
      </c>
      <c r="F97" s="55"/>
      <c r="G97" s="51">
        <f>E97+F97</f>
        <v>0</v>
      </c>
      <c r="H97" s="51">
        <v>750</v>
      </c>
      <c r="I97" s="51">
        <f>G97+H97</f>
        <v>750</v>
      </c>
      <c r="J97" s="55"/>
      <c r="K97" s="51">
        <f>I97+J97</f>
        <v>750</v>
      </c>
      <c r="L97" s="51">
        <v>750</v>
      </c>
      <c r="M97" s="51">
        <f>K97+L97</f>
        <v>1500</v>
      </c>
      <c r="N97" s="55"/>
      <c r="O97" s="51">
        <f>M97+N97</f>
        <v>1500</v>
      </c>
      <c r="P97" s="55"/>
      <c r="Q97" s="51">
        <f>O97+P97</f>
        <v>1500</v>
      </c>
      <c r="R97" s="55"/>
      <c r="S97" s="51">
        <f>Q97+R97</f>
        <v>1500</v>
      </c>
      <c r="T97" s="55"/>
      <c r="U97" s="51">
        <f>S97+T97</f>
        <v>1500</v>
      </c>
      <c r="V97" s="55"/>
      <c r="W97" s="51">
        <f>U97+V97</f>
        <v>1500</v>
      </c>
      <c r="X97" s="55"/>
      <c r="Y97" s="51">
        <f>W97+X97</f>
        <v>1500</v>
      </c>
    </row>
    <row r="98" spans="1:25" x14ac:dyDescent="0.25">
      <c r="A98" s="15" t="s">
        <v>69</v>
      </c>
      <c r="B98" s="15">
        <v>223</v>
      </c>
      <c r="C98" s="48"/>
      <c r="D98" s="48"/>
      <c r="E98" s="51">
        <f>C98+D98</f>
        <v>0</v>
      </c>
      <c r="F98" s="48"/>
      <c r="G98" s="51">
        <f>E98+F98</f>
        <v>0</v>
      </c>
      <c r="H98" s="48">
        <v>325</v>
      </c>
      <c r="I98" s="51">
        <f>G98+H98</f>
        <v>325</v>
      </c>
      <c r="J98" s="48"/>
      <c r="K98" s="51">
        <f>I98+J98</f>
        <v>325</v>
      </c>
      <c r="L98" s="48">
        <v>325</v>
      </c>
      <c r="M98" s="51">
        <f>K98+L98</f>
        <v>650</v>
      </c>
      <c r="N98" s="48"/>
      <c r="O98" s="51">
        <f>M98+N98</f>
        <v>650</v>
      </c>
      <c r="P98" s="48"/>
      <c r="Q98" s="51">
        <f>O98+P98</f>
        <v>650</v>
      </c>
      <c r="R98" s="48"/>
      <c r="S98" s="51">
        <f>Q98+R98</f>
        <v>650</v>
      </c>
      <c r="T98" s="48"/>
      <c r="U98" s="51">
        <f>S98+T98</f>
        <v>650</v>
      </c>
      <c r="V98" s="48"/>
      <c r="W98" s="51">
        <f>U98+V98</f>
        <v>650</v>
      </c>
      <c r="X98" s="48"/>
      <c r="Y98" s="51">
        <f>W98+X98</f>
        <v>650</v>
      </c>
    </row>
    <row r="99" spans="1:25" x14ac:dyDescent="0.25">
      <c r="A99" s="34" t="s">
        <v>30</v>
      </c>
      <c r="B99" s="34">
        <v>223</v>
      </c>
      <c r="C99" s="56"/>
      <c r="D99" s="56"/>
      <c r="E99" s="51">
        <f>C99+D99</f>
        <v>0</v>
      </c>
      <c r="F99" s="56"/>
      <c r="G99" s="51">
        <f>E99+F99</f>
        <v>0</v>
      </c>
      <c r="H99" s="56"/>
      <c r="I99" s="51">
        <f>G99+H99</f>
        <v>0</v>
      </c>
      <c r="J99" s="56">
        <v>1922.74</v>
      </c>
      <c r="K99" s="56">
        <f>J99</f>
        <v>1922.74</v>
      </c>
      <c r="L99" s="56">
        <v>77.22</v>
      </c>
      <c r="M99" s="51">
        <f>K99+L99</f>
        <v>1999.96</v>
      </c>
      <c r="N99" s="56"/>
      <c r="O99" s="51">
        <f>M99+N99</f>
        <v>1999.96</v>
      </c>
      <c r="P99" s="56"/>
      <c r="Q99" s="51">
        <f>O99+P99</f>
        <v>1999.96</v>
      </c>
      <c r="R99" s="56"/>
      <c r="S99" s="51">
        <f>Q99+R99</f>
        <v>1999.96</v>
      </c>
      <c r="T99" s="56"/>
      <c r="U99" s="51">
        <f>S99+T99</f>
        <v>1999.96</v>
      </c>
      <c r="V99" s="56"/>
      <c r="W99" s="51">
        <f>U99+V99</f>
        <v>1999.96</v>
      </c>
      <c r="X99" s="56"/>
      <c r="Y99" s="51">
        <f>W99+X99</f>
        <v>1999.96</v>
      </c>
    </row>
    <row r="100" spans="1:25" x14ac:dyDescent="0.25">
      <c r="A100" s="83" t="s">
        <v>56</v>
      </c>
      <c r="B100" s="84"/>
      <c r="C100" s="49">
        <f>C102</f>
        <v>0</v>
      </c>
      <c r="D100" s="49">
        <f t="shared" ref="D100:X100" si="109">D102</f>
        <v>0</v>
      </c>
      <c r="E100" s="49">
        <f t="shared" si="109"/>
        <v>0</v>
      </c>
      <c r="F100" s="49">
        <f t="shared" si="109"/>
        <v>0</v>
      </c>
      <c r="G100" s="49">
        <f t="shared" si="109"/>
        <v>0</v>
      </c>
      <c r="H100" s="49">
        <f t="shared" si="109"/>
        <v>0</v>
      </c>
      <c r="I100" s="49">
        <f t="shared" si="109"/>
        <v>0</v>
      </c>
      <c r="J100" s="49">
        <f t="shared" si="109"/>
        <v>0</v>
      </c>
      <c r="K100" s="49">
        <f t="shared" si="109"/>
        <v>0</v>
      </c>
      <c r="L100" s="49">
        <f t="shared" si="109"/>
        <v>3167.16</v>
      </c>
      <c r="M100" s="49">
        <f t="shared" si="109"/>
        <v>3167.16</v>
      </c>
      <c r="N100" s="49">
        <f t="shared" si="109"/>
        <v>0</v>
      </c>
      <c r="O100" s="49">
        <f t="shared" si="109"/>
        <v>3167.16</v>
      </c>
      <c r="P100" s="49">
        <f t="shared" si="109"/>
        <v>0</v>
      </c>
      <c r="Q100" s="49">
        <f t="shared" si="109"/>
        <v>3167.16</v>
      </c>
      <c r="R100" s="49">
        <f>R102+R101</f>
        <v>2490</v>
      </c>
      <c r="S100" s="49">
        <f>S102+S101</f>
        <v>5657.16</v>
      </c>
      <c r="T100" s="49">
        <f t="shared" si="109"/>
        <v>0</v>
      </c>
      <c r="U100" s="49">
        <f>U102+U101</f>
        <v>5657.16</v>
      </c>
      <c r="V100" s="49">
        <f t="shared" si="109"/>
        <v>0</v>
      </c>
      <c r="W100" s="49">
        <f>W102+W101</f>
        <v>5657.16</v>
      </c>
      <c r="X100" s="49">
        <f t="shared" si="109"/>
        <v>0</v>
      </c>
      <c r="Y100" s="49">
        <f>Y102+Y101</f>
        <v>5657.16</v>
      </c>
    </row>
    <row r="101" spans="1:25" x14ac:dyDescent="0.25">
      <c r="A101" s="120" t="s">
        <v>134</v>
      </c>
      <c r="B101" s="121">
        <v>226</v>
      </c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56">
        <v>2490</v>
      </c>
      <c r="S101" s="51">
        <f>Q101+R101</f>
        <v>2490</v>
      </c>
      <c r="T101" s="119"/>
      <c r="U101" s="51">
        <f>S101+T101</f>
        <v>2490</v>
      </c>
      <c r="V101" s="119"/>
      <c r="W101" s="51">
        <f>U101+V101</f>
        <v>2490</v>
      </c>
      <c r="X101" s="119"/>
      <c r="Y101" s="51">
        <f>W101+X101</f>
        <v>2490</v>
      </c>
    </row>
    <row r="102" spans="1:25" x14ac:dyDescent="0.25">
      <c r="A102" s="25" t="s">
        <v>109</v>
      </c>
      <c r="B102" s="25">
        <v>226</v>
      </c>
      <c r="C102" s="55"/>
      <c r="D102" s="55"/>
      <c r="E102" s="51">
        <f>C102+D102</f>
        <v>0</v>
      </c>
      <c r="F102" s="55"/>
      <c r="G102" s="51">
        <f>E102+F102</f>
        <v>0</v>
      </c>
      <c r="H102" s="51"/>
      <c r="I102" s="51">
        <f>G102+H102</f>
        <v>0</v>
      </c>
      <c r="J102" s="55"/>
      <c r="K102" s="51">
        <f>I102+J102</f>
        <v>0</v>
      </c>
      <c r="L102" s="51">
        <v>3167.16</v>
      </c>
      <c r="M102" s="51">
        <f>K102+L102</f>
        <v>3167.16</v>
      </c>
      <c r="N102" s="55"/>
      <c r="O102" s="51">
        <f>M102+N102</f>
        <v>3167.16</v>
      </c>
      <c r="P102" s="55"/>
      <c r="Q102" s="51">
        <f>O102+P102</f>
        <v>3167.16</v>
      </c>
      <c r="R102" s="55"/>
      <c r="S102" s="51">
        <f>Q102+R102</f>
        <v>3167.16</v>
      </c>
      <c r="T102" s="55"/>
      <c r="U102" s="51">
        <f>S102+T102</f>
        <v>3167.16</v>
      </c>
      <c r="V102" s="55"/>
      <c r="W102" s="51">
        <f>U102+V102</f>
        <v>3167.16</v>
      </c>
      <c r="X102" s="55"/>
      <c r="Y102" s="51">
        <f>W102+X102</f>
        <v>3167.16</v>
      </c>
    </row>
    <row r="103" spans="1:25" x14ac:dyDescent="0.25">
      <c r="A103" s="85" t="s">
        <v>57</v>
      </c>
      <c r="B103" s="86"/>
      <c r="C103" s="54">
        <f>C104</f>
        <v>0</v>
      </c>
      <c r="D103" s="54">
        <f t="shared" ref="D103:Y103" si="110">D104</f>
        <v>0</v>
      </c>
      <c r="E103" s="54">
        <f t="shared" si="110"/>
        <v>0</v>
      </c>
      <c r="F103" s="54">
        <f t="shared" si="110"/>
        <v>0</v>
      </c>
      <c r="G103" s="54">
        <f t="shared" si="110"/>
        <v>0</v>
      </c>
      <c r="H103" s="54">
        <f t="shared" si="110"/>
        <v>0</v>
      </c>
      <c r="I103" s="54">
        <f t="shared" si="110"/>
        <v>0</v>
      </c>
      <c r="J103" s="54">
        <f t="shared" si="110"/>
        <v>1928</v>
      </c>
      <c r="K103" s="54">
        <f t="shared" si="110"/>
        <v>1928</v>
      </c>
      <c r="L103" s="54">
        <f t="shared" si="110"/>
        <v>0</v>
      </c>
      <c r="M103" s="54">
        <f t="shared" si="110"/>
        <v>1928</v>
      </c>
      <c r="N103" s="54">
        <f t="shared" si="110"/>
        <v>0</v>
      </c>
      <c r="O103" s="54">
        <f t="shared" si="110"/>
        <v>1928</v>
      </c>
      <c r="P103" s="54">
        <f t="shared" si="110"/>
        <v>0</v>
      </c>
      <c r="Q103" s="54">
        <f t="shared" si="110"/>
        <v>1928</v>
      </c>
      <c r="R103" s="54">
        <f t="shared" si="110"/>
        <v>0</v>
      </c>
      <c r="S103" s="54">
        <f t="shared" si="110"/>
        <v>1928</v>
      </c>
      <c r="T103" s="54">
        <f t="shared" si="110"/>
        <v>0</v>
      </c>
      <c r="U103" s="54">
        <f t="shared" si="110"/>
        <v>1928</v>
      </c>
      <c r="V103" s="54">
        <f t="shared" si="110"/>
        <v>0</v>
      </c>
      <c r="W103" s="54">
        <f t="shared" si="110"/>
        <v>1928</v>
      </c>
      <c r="X103" s="54">
        <f t="shared" si="110"/>
        <v>0</v>
      </c>
      <c r="Y103" s="54">
        <f t="shared" si="110"/>
        <v>1928</v>
      </c>
    </row>
    <row r="104" spans="1:25" x14ac:dyDescent="0.25">
      <c r="A104" s="35" t="s">
        <v>95</v>
      </c>
      <c r="B104" s="36">
        <v>340</v>
      </c>
      <c r="C104" s="48"/>
      <c r="D104" s="48"/>
      <c r="E104" s="51">
        <f>C104+D104</f>
        <v>0</v>
      </c>
      <c r="F104" s="48"/>
      <c r="G104" s="51">
        <f>E104+F104</f>
        <v>0</v>
      </c>
      <c r="H104" s="48"/>
      <c r="I104" s="51">
        <f>G104+H104</f>
        <v>0</v>
      </c>
      <c r="J104" s="48">
        <v>1928</v>
      </c>
      <c r="K104" s="51">
        <f>I104+J104</f>
        <v>1928</v>
      </c>
      <c r="L104" s="48"/>
      <c r="M104" s="51">
        <f>K104+L104</f>
        <v>1928</v>
      </c>
      <c r="N104" s="48"/>
      <c r="O104" s="51">
        <f>M104+N104</f>
        <v>1928</v>
      </c>
      <c r="P104" s="48"/>
      <c r="Q104" s="51">
        <f>O104+P104</f>
        <v>1928</v>
      </c>
      <c r="R104" s="48"/>
      <c r="S104" s="51">
        <f>Q104+R104</f>
        <v>1928</v>
      </c>
      <c r="T104" s="48"/>
      <c r="U104" s="51">
        <f>S104+T104</f>
        <v>1928</v>
      </c>
      <c r="V104" s="48"/>
      <c r="W104" s="51">
        <f>U104+V104</f>
        <v>1928</v>
      </c>
      <c r="X104" s="48"/>
      <c r="Y104" s="51">
        <f>W104+X104</f>
        <v>1928</v>
      </c>
    </row>
    <row r="105" spans="1:25" x14ac:dyDescent="0.25">
      <c r="A105" s="68" t="s">
        <v>1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70"/>
    </row>
    <row r="106" spans="1:25" x14ac:dyDescent="0.25">
      <c r="A106" s="68" t="s">
        <v>100</v>
      </c>
      <c r="B106" s="70"/>
      <c r="C106" s="106">
        <f>SUM(C107:C108)</f>
        <v>0</v>
      </c>
      <c r="D106" s="106">
        <f t="shared" ref="D106:Y106" si="111">SUM(D107:D108)</f>
        <v>0</v>
      </c>
      <c r="E106" s="106">
        <f t="shared" si="111"/>
        <v>0</v>
      </c>
      <c r="F106" s="106">
        <f t="shared" si="111"/>
        <v>0</v>
      </c>
      <c r="G106" s="106">
        <f t="shared" si="111"/>
        <v>0</v>
      </c>
      <c r="H106" s="106">
        <f t="shared" si="111"/>
        <v>0</v>
      </c>
      <c r="I106" s="106">
        <f t="shared" si="111"/>
        <v>0</v>
      </c>
      <c r="J106" s="106">
        <f t="shared" si="111"/>
        <v>11000</v>
      </c>
      <c r="K106" s="106">
        <f t="shared" si="111"/>
        <v>11000</v>
      </c>
      <c r="L106" s="106">
        <f t="shared" si="111"/>
        <v>19500</v>
      </c>
      <c r="M106" s="106">
        <f t="shared" si="111"/>
        <v>30500</v>
      </c>
      <c r="N106" s="106">
        <f t="shared" si="111"/>
        <v>0</v>
      </c>
      <c r="O106" s="106">
        <f t="shared" si="111"/>
        <v>30500</v>
      </c>
      <c r="P106" s="106">
        <f t="shared" si="111"/>
        <v>0</v>
      </c>
      <c r="Q106" s="106">
        <f t="shared" si="111"/>
        <v>30500</v>
      </c>
      <c r="R106" s="106">
        <f t="shared" si="111"/>
        <v>0</v>
      </c>
      <c r="S106" s="106">
        <f t="shared" si="111"/>
        <v>30500</v>
      </c>
      <c r="T106" s="106">
        <f t="shared" si="111"/>
        <v>0</v>
      </c>
      <c r="U106" s="106">
        <f t="shared" si="111"/>
        <v>30500</v>
      </c>
      <c r="V106" s="106">
        <f t="shared" si="111"/>
        <v>0</v>
      </c>
      <c r="W106" s="106">
        <f t="shared" si="111"/>
        <v>30500</v>
      </c>
      <c r="X106" s="106">
        <f t="shared" si="111"/>
        <v>0</v>
      </c>
      <c r="Y106" s="106">
        <f t="shared" si="111"/>
        <v>30500</v>
      </c>
    </row>
    <row r="107" spans="1:25" s="4" customFormat="1" x14ac:dyDescent="0.25">
      <c r="A107" s="37" t="s">
        <v>108</v>
      </c>
      <c r="B107" s="38">
        <v>225</v>
      </c>
      <c r="C107" s="55"/>
      <c r="D107" s="55"/>
      <c r="E107" s="51">
        <f>C107+D107</f>
        <v>0</v>
      </c>
      <c r="F107" s="55"/>
      <c r="G107" s="51">
        <f>E107+F107</f>
        <v>0</v>
      </c>
      <c r="H107" s="55"/>
      <c r="I107" s="51">
        <f>G107+H107</f>
        <v>0</v>
      </c>
      <c r="J107" s="55"/>
      <c r="K107" s="51">
        <f>I107+J107</f>
        <v>0</v>
      </c>
      <c r="L107" s="51">
        <v>7500</v>
      </c>
      <c r="M107" s="51">
        <f>K107+L107</f>
        <v>7500</v>
      </c>
      <c r="N107" s="55"/>
      <c r="O107" s="51">
        <f>M107+N107</f>
        <v>7500</v>
      </c>
      <c r="P107" s="55"/>
      <c r="Q107" s="51">
        <f>O107+P107</f>
        <v>7500</v>
      </c>
      <c r="R107" s="55"/>
      <c r="S107" s="51">
        <f>Q107+R107</f>
        <v>7500</v>
      </c>
      <c r="T107" s="55"/>
      <c r="U107" s="51">
        <f>S107+T107</f>
        <v>7500</v>
      </c>
      <c r="V107" s="55"/>
      <c r="W107" s="51">
        <f>U107+V107</f>
        <v>7500</v>
      </c>
      <c r="X107" s="51"/>
      <c r="Y107" s="51">
        <f>W107+X107</f>
        <v>7500</v>
      </c>
    </row>
    <row r="108" spans="1:25" x14ac:dyDescent="0.25">
      <c r="A108" s="37" t="s">
        <v>99</v>
      </c>
      <c r="B108" s="38">
        <v>226</v>
      </c>
      <c r="C108" s="55"/>
      <c r="D108" s="51"/>
      <c r="E108" s="51">
        <f>C108+D108</f>
        <v>0</v>
      </c>
      <c r="F108" s="51"/>
      <c r="G108" s="51">
        <f>E108+F108</f>
        <v>0</v>
      </c>
      <c r="H108" s="51"/>
      <c r="I108" s="51">
        <f>G108+H108</f>
        <v>0</v>
      </c>
      <c r="J108" s="51">
        <v>11000</v>
      </c>
      <c r="K108" s="51">
        <f>I108+J108</f>
        <v>11000</v>
      </c>
      <c r="L108" s="51">
        <v>12000</v>
      </c>
      <c r="M108" s="51">
        <f>K108+L108</f>
        <v>23000</v>
      </c>
      <c r="N108" s="51"/>
      <c r="O108" s="51">
        <f>M108+N108</f>
        <v>23000</v>
      </c>
      <c r="P108" s="51"/>
      <c r="Q108" s="51">
        <f>O108+P108</f>
        <v>23000</v>
      </c>
      <c r="R108" s="51"/>
      <c r="S108" s="51">
        <f>Q108+R108</f>
        <v>23000</v>
      </c>
      <c r="T108" s="51"/>
      <c r="U108" s="51">
        <f>S108+T108</f>
        <v>23000</v>
      </c>
      <c r="V108" s="51"/>
      <c r="W108" s="51">
        <f>U108+V108</f>
        <v>23000</v>
      </c>
      <c r="X108" s="51"/>
      <c r="Y108" s="51">
        <f>W108+X108</f>
        <v>23000</v>
      </c>
    </row>
    <row r="109" spans="1:25" x14ac:dyDescent="0.25">
      <c r="A109" s="57" t="s">
        <v>1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5" x14ac:dyDescent="0.25">
      <c r="A110" s="57" t="s">
        <v>45</v>
      </c>
      <c r="B110" s="58"/>
      <c r="C110" s="53">
        <f t="shared" ref="C110" si="112">SUM(C112:C112)</f>
        <v>0</v>
      </c>
      <c r="D110" s="53">
        <f t="shared" ref="D110:Y110" si="113">SUM(D111:D112)</f>
        <v>3500</v>
      </c>
      <c r="E110" s="53">
        <f t="shared" si="113"/>
        <v>3500</v>
      </c>
      <c r="F110" s="53">
        <f t="shared" si="113"/>
        <v>3000</v>
      </c>
      <c r="G110" s="53">
        <f t="shared" si="113"/>
        <v>6500</v>
      </c>
      <c r="H110" s="53">
        <f t="shared" si="113"/>
        <v>3000</v>
      </c>
      <c r="I110" s="53">
        <f t="shared" si="113"/>
        <v>9500</v>
      </c>
      <c r="J110" s="53">
        <f t="shared" si="113"/>
        <v>3000</v>
      </c>
      <c r="K110" s="53">
        <f t="shared" si="113"/>
        <v>12500</v>
      </c>
      <c r="L110" s="53">
        <f t="shared" si="113"/>
        <v>3000</v>
      </c>
      <c r="M110" s="53">
        <f t="shared" si="113"/>
        <v>15500</v>
      </c>
      <c r="N110" s="53">
        <f t="shared" si="113"/>
        <v>3000</v>
      </c>
      <c r="O110" s="53">
        <f t="shared" si="113"/>
        <v>18500</v>
      </c>
      <c r="P110" s="53">
        <f t="shared" si="113"/>
        <v>3000</v>
      </c>
      <c r="Q110" s="53">
        <f t="shared" si="113"/>
        <v>21500</v>
      </c>
      <c r="R110" s="53">
        <f t="shared" si="113"/>
        <v>0</v>
      </c>
      <c r="S110" s="53">
        <f t="shared" si="113"/>
        <v>21500</v>
      </c>
      <c r="T110" s="53">
        <f t="shared" si="113"/>
        <v>0</v>
      </c>
      <c r="U110" s="53">
        <f t="shared" si="113"/>
        <v>21500</v>
      </c>
      <c r="V110" s="53">
        <f t="shared" si="113"/>
        <v>0</v>
      </c>
      <c r="W110" s="53">
        <f t="shared" si="113"/>
        <v>21500</v>
      </c>
      <c r="X110" s="53">
        <f t="shared" si="113"/>
        <v>0</v>
      </c>
      <c r="Y110" s="53">
        <f t="shared" si="113"/>
        <v>21500</v>
      </c>
    </row>
    <row r="111" spans="1:25" x14ac:dyDescent="0.25">
      <c r="A111" s="37" t="s">
        <v>59</v>
      </c>
      <c r="B111" s="38">
        <v>225</v>
      </c>
      <c r="C111" s="55"/>
      <c r="D111" s="51">
        <v>500</v>
      </c>
      <c r="E111" s="51">
        <f>C111+D111</f>
        <v>500</v>
      </c>
      <c r="F111" s="51"/>
      <c r="G111" s="51">
        <f>E111+F111</f>
        <v>500</v>
      </c>
      <c r="H111" s="51"/>
      <c r="I111" s="51">
        <f>G111+H111</f>
        <v>500</v>
      </c>
      <c r="J111" s="51"/>
      <c r="K111" s="51">
        <f>I111+J111</f>
        <v>500</v>
      </c>
      <c r="L111" s="51"/>
      <c r="M111" s="51">
        <f>K111+L111</f>
        <v>500</v>
      </c>
      <c r="N111" s="51"/>
      <c r="O111" s="51">
        <f>M111+N111</f>
        <v>500</v>
      </c>
      <c r="P111" s="51"/>
      <c r="Q111" s="51">
        <f>O111+P111</f>
        <v>500</v>
      </c>
      <c r="R111" s="51"/>
      <c r="S111" s="51">
        <f>Q111+R111</f>
        <v>500</v>
      </c>
      <c r="T111" s="51"/>
      <c r="U111" s="51">
        <f>S111+T111</f>
        <v>500</v>
      </c>
      <c r="V111" s="51"/>
      <c r="W111" s="51">
        <f>U111+V111</f>
        <v>500</v>
      </c>
      <c r="X111" s="51"/>
      <c r="Y111" s="51">
        <f>W111+X111</f>
        <v>500</v>
      </c>
    </row>
    <row r="112" spans="1:25" x14ac:dyDescent="0.25">
      <c r="A112" s="25" t="s">
        <v>39</v>
      </c>
      <c r="B112" s="25">
        <v>226</v>
      </c>
      <c r="C112" s="51"/>
      <c r="D112" s="51">
        <v>3000</v>
      </c>
      <c r="E112" s="51">
        <f>C112+D112</f>
        <v>3000</v>
      </c>
      <c r="F112" s="51">
        <v>3000</v>
      </c>
      <c r="G112" s="51">
        <f>E112+F112</f>
        <v>6000</v>
      </c>
      <c r="H112" s="51">
        <v>3000</v>
      </c>
      <c r="I112" s="51">
        <f>G112+H112</f>
        <v>9000</v>
      </c>
      <c r="J112" s="51">
        <v>3000</v>
      </c>
      <c r="K112" s="51">
        <f>I112+J112</f>
        <v>12000</v>
      </c>
      <c r="L112" s="51">
        <v>3000</v>
      </c>
      <c r="M112" s="51">
        <f>K112+L112</f>
        <v>15000</v>
      </c>
      <c r="N112" s="51">
        <v>3000</v>
      </c>
      <c r="O112" s="51">
        <f>M112+N112</f>
        <v>18000</v>
      </c>
      <c r="P112" s="51">
        <v>3000</v>
      </c>
      <c r="Q112" s="51">
        <f>O112+P112</f>
        <v>21000</v>
      </c>
      <c r="R112" s="51"/>
      <c r="S112" s="51">
        <f>Q112+R112</f>
        <v>21000</v>
      </c>
      <c r="T112" s="51"/>
      <c r="U112" s="51">
        <f>S112+T112</f>
        <v>21000</v>
      </c>
      <c r="V112" s="51"/>
      <c r="W112" s="51">
        <f>U112+V112</f>
        <v>21000</v>
      </c>
      <c r="X112" s="51"/>
      <c r="Y112" s="51">
        <f>W112+X112</f>
        <v>21000</v>
      </c>
    </row>
    <row r="113" spans="1:25" x14ac:dyDescent="0.25">
      <c r="A113" s="87" t="s">
        <v>1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9"/>
    </row>
    <row r="114" spans="1:25" x14ac:dyDescent="0.25">
      <c r="A114" s="87" t="s">
        <v>111</v>
      </c>
      <c r="B114" s="89"/>
      <c r="C114" s="105">
        <f>C115+C116+C117</f>
        <v>0</v>
      </c>
      <c r="D114" s="105">
        <f t="shared" ref="D114:Y114" si="114">D115+D116+D117</f>
        <v>0</v>
      </c>
      <c r="E114" s="105">
        <f t="shared" si="114"/>
        <v>0</v>
      </c>
      <c r="F114" s="105">
        <f t="shared" si="114"/>
        <v>0</v>
      </c>
      <c r="G114" s="105">
        <f t="shared" si="114"/>
        <v>0</v>
      </c>
      <c r="H114" s="105">
        <f t="shared" si="114"/>
        <v>0</v>
      </c>
      <c r="I114" s="105">
        <f t="shared" si="114"/>
        <v>0</v>
      </c>
      <c r="J114" s="105">
        <f t="shared" si="114"/>
        <v>0</v>
      </c>
      <c r="K114" s="105">
        <f t="shared" si="114"/>
        <v>0</v>
      </c>
      <c r="L114" s="105">
        <f t="shared" si="114"/>
        <v>32506.3</v>
      </c>
      <c r="M114" s="105">
        <f t="shared" si="114"/>
        <v>32506.3</v>
      </c>
      <c r="N114" s="105">
        <f t="shared" si="114"/>
        <v>0</v>
      </c>
      <c r="O114" s="105">
        <f t="shared" si="114"/>
        <v>32506.3</v>
      </c>
      <c r="P114" s="105">
        <f t="shared" si="114"/>
        <v>759378.32000000007</v>
      </c>
      <c r="Q114" s="105">
        <f t="shared" si="114"/>
        <v>791884.62</v>
      </c>
      <c r="R114" s="105">
        <f t="shared" si="114"/>
        <v>0</v>
      </c>
      <c r="S114" s="105">
        <f t="shared" si="114"/>
        <v>791884.62</v>
      </c>
      <c r="T114" s="105">
        <f t="shared" si="114"/>
        <v>0</v>
      </c>
      <c r="U114" s="105">
        <f t="shared" si="114"/>
        <v>791884.62</v>
      </c>
      <c r="V114" s="105">
        <f t="shared" si="114"/>
        <v>0</v>
      </c>
      <c r="W114" s="105">
        <f t="shared" si="114"/>
        <v>791884.62</v>
      </c>
      <c r="X114" s="105">
        <f t="shared" si="114"/>
        <v>0</v>
      </c>
      <c r="Y114" s="105">
        <f t="shared" si="114"/>
        <v>791884.62</v>
      </c>
    </row>
    <row r="115" spans="1:25" s="6" customFormat="1" x14ac:dyDescent="0.25">
      <c r="A115" s="39" t="s">
        <v>123</v>
      </c>
      <c r="B115" s="38">
        <v>225</v>
      </c>
      <c r="C115" s="51"/>
      <c r="D115" s="51"/>
      <c r="E115" s="51">
        <f>C115+D115</f>
        <v>0</v>
      </c>
      <c r="F115" s="51"/>
      <c r="G115" s="51">
        <f>E115+F115</f>
        <v>0</v>
      </c>
      <c r="H115" s="51"/>
      <c r="I115" s="51">
        <f>G115+H115</f>
        <v>0</v>
      </c>
      <c r="J115" s="51"/>
      <c r="K115" s="51">
        <f>I115+J115</f>
        <v>0</v>
      </c>
      <c r="L115" s="51"/>
      <c r="M115" s="51">
        <f>K115+L115</f>
        <v>0</v>
      </c>
      <c r="N115" s="51"/>
      <c r="O115" s="51">
        <f>M115+N115</f>
        <v>0</v>
      </c>
      <c r="P115" s="51">
        <v>85000</v>
      </c>
      <c r="Q115" s="51">
        <f>O115+P115</f>
        <v>85000</v>
      </c>
      <c r="R115" s="51"/>
      <c r="S115" s="51">
        <f>Q115+R115</f>
        <v>85000</v>
      </c>
      <c r="T115" s="51"/>
      <c r="U115" s="51">
        <f>S115+T115</f>
        <v>85000</v>
      </c>
      <c r="V115" s="51"/>
      <c r="W115" s="51">
        <f>U115+V115</f>
        <v>85000</v>
      </c>
      <c r="X115" s="51"/>
      <c r="Y115" s="51">
        <f>W115+X115</f>
        <v>85000</v>
      </c>
    </row>
    <row r="116" spans="1:25" x14ac:dyDescent="0.25">
      <c r="A116" s="39" t="s">
        <v>112</v>
      </c>
      <c r="B116" s="40">
        <v>226</v>
      </c>
      <c r="C116" s="55"/>
      <c r="D116" s="55"/>
      <c r="E116" s="51">
        <f>C116+D116</f>
        <v>0</v>
      </c>
      <c r="F116" s="55"/>
      <c r="G116" s="51">
        <f>E116+F116</f>
        <v>0</v>
      </c>
      <c r="H116" s="55"/>
      <c r="I116" s="51">
        <f>G116+H116</f>
        <v>0</v>
      </c>
      <c r="J116" s="55"/>
      <c r="K116" s="51">
        <f>I116+J116</f>
        <v>0</v>
      </c>
      <c r="L116" s="51">
        <v>19868.439999999999</v>
      </c>
      <c r="M116" s="51">
        <f>K116+L116</f>
        <v>19868.439999999999</v>
      </c>
      <c r="N116" s="51"/>
      <c r="O116" s="51">
        <f>M116+N116</f>
        <v>19868.439999999999</v>
      </c>
      <c r="P116" s="51">
        <v>14319.56</v>
      </c>
      <c r="Q116" s="51">
        <f>O116+P116</f>
        <v>34188</v>
      </c>
      <c r="R116" s="51"/>
      <c r="S116" s="51">
        <f>Q116+R116</f>
        <v>34188</v>
      </c>
      <c r="T116" s="51"/>
      <c r="U116" s="51">
        <f>S116+T116</f>
        <v>34188</v>
      </c>
      <c r="V116" s="51"/>
      <c r="W116" s="51">
        <f>U116+V116</f>
        <v>34188</v>
      </c>
      <c r="X116" s="51"/>
      <c r="Y116" s="51">
        <f>W116+X116</f>
        <v>34188</v>
      </c>
    </row>
    <row r="117" spans="1:25" x14ac:dyDescent="0.25">
      <c r="A117" s="90" t="s">
        <v>96</v>
      </c>
      <c r="B117" s="91"/>
      <c r="C117" s="105">
        <f>SUM(C118:C119)</f>
        <v>0</v>
      </c>
      <c r="D117" s="105">
        <f t="shared" ref="D117:Y117" si="115">SUM(D118:D119)</f>
        <v>0</v>
      </c>
      <c r="E117" s="105">
        <f t="shared" si="115"/>
        <v>0</v>
      </c>
      <c r="F117" s="105">
        <f t="shared" si="115"/>
        <v>0</v>
      </c>
      <c r="G117" s="105">
        <f t="shared" si="115"/>
        <v>0</v>
      </c>
      <c r="H117" s="105">
        <f t="shared" si="115"/>
        <v>0</v>
      </c>
      <c r="I117" s="105">
        <f t="shared" si="115"/>
        <v>0</v>
      </c>
      <c r="J117" s="105">
        <f t="shared" si="115"/>
        <v>0</v>
      </c>
      <c r="K117" s="105">
        <f t="shared" si="115"/>
        <v>0</v>
      </c>
      <c r="L117" s="105">
        <f t="shared" si="115"/>
        <v>12637.86</v>
      </c>
      <c r="M117" s="105">
        <f t="shared" si="115"/>
        <v>12637.86</v>
      </c>
      <c r="N117" s="105">
        <f t="shared" si="115"/>
        <v>0</v>
      </c>
      <c r="O117" s="105">
        <f t="shared" si="115"/>
        <v>12637.86</v>
      </c>
      <c r="P117" s="105">
        <f t="shared" si="115"/>
        <v>660058.76</v>
      </c>
      <c r="Q117" s="105">
        <f t="shared" si="115"/>
        <v>672696.62</v>
      </c>
      <c r="R117" s="105">
        <f t="shared" si="115"/>
        <v>0</v>
      </c>
      <c r="S117" s="105">
        <f t="shared" si="115"/>
        <v>672696.62</v>
      </c>
      <c r="T117" s="105">
        <f t="shared" si="115"/>
        <v>0</v>
      </c>
      <c r="U117" s="105">
        <f t="shared" si="115"/>
        <v>672696.62</v>
      </c>
      <c r="V117" s="105">
        <f t="shared" si="115"/>
        <v>0</v>
      </c>
      <c r="W117" s="105">
        <f t="shared" si="115"/>
        <v>672696.62</v>
      </c>
      <c r="X117" s="105">
        <f t="shared" si="115"/>
        <v>0</v>
      </c>
      <c r="Y117" s="105">
        <f t="shared" si="115"/>
        <v>672696.62</v>
      </c>
    </row>
    <row r="118" spans="1:25" x14ac:dyDescent="0.25">
      <c r="A118" s="39" t="s">
        <v>122</v>
      </c>
      <c r="B118" s="38">
        <v>310</v>
      </c>
      <c r="C118" s="55"/>
      <c r="D118" s="55"/>
      <c r="E118" s="51">
        <f>C118+D118</f>
        <v>0</v>
      </c>
      <c r="F118" s="55"/>
      <c r="G118" s="51">
        <f>E118+F118</f>
        <v>0</v>
      </c>
      <c r="H118" s="55"/>
      <c r="I118" s="51">
        <f>G118+H118</f>
        <v>0</v>
      </c>
      <c r="J118" s="55"/>
      <c r="K118" s="51">
        <f>I118+J118</f>
        <v>0</v>
      </c>
      <c r="L118" s="51"/>
      <c r="M118" s="51">
        <f>K118+L118</f>
        <v>0</v>
      </c>
      <c r="N118" s="51"/>
      <c r="O118" s="51">
        <f>M118+N118</f>
        <v>0</v>
      </c>
      <c r="P118" s="51">
        <v>640000</v>
      </c>
      <c r="Q118" s="51">
        <f>O118+P118</f>
        <v>640000</v>
      </c>
      <c r="R118" s="51"/>
      <c r="S118" s="51">
        <f>Q118+R118</f>
        <v>640000</v>
      </c>
      <c r="T118" s="51"/>
      <c r="U118" s="51">
        <f>S118+T118</f>
        <v>640000</v>
      </c>
      <c r="V118" s="51"/>
      <c r="W118" s="51">
        <f>U118+V118</f>
        <v>640000</v>
      </c>
      <c r="X118" s="51"/>
      <c r="Y118" s="51">
        <f>W118+X118</f>
        <v>640000</v>
      </c>
    </row>
    <row r="119" spans="1:25" x14ac:dyDescent="0.25">
      <c r="A119" s="37" t="s">
        <v>110</v>
      </c>
      <c r="B119" s="38">
        <v>310</v>
      </c>
      <c r="C119" s="55"/>
      <c r="D119" s="51"/>
      <c r="E119" s="51">
        <f>C119+D119</f>
        <v>0</v>
      </c>
      <c r="F119" s="51"/>
      <c r="G119" s="51">
        <f>E119+F119</f>
        <v>0</v>
      </c>
      <c r="H119" s="51"/>
      <c r="I119" s="51">
        <f>G119+H119</f>
        <v>0</v>
      </c>
      <c r="J119" s="51"/>
      <c r="K119" s="51">
        <f>I119+J119</f>
        <v>0</v>
      </c>
      <c r="L119" s="51">
        <v>12637.86</v>
      </c>
      <c r="M119" s="51">
        <f>K119+L119</f>
        <v>12637.86</v>
      </c>
      <c r="N119" s="51"/>
      <c r="O119" s="51">
        <f>M119+N119</f>
        <v>12637.86</v>
      </c>
      <c r="P119" s="51">
        <v>20058.759999999998</v>
      </c>
      <c r="Q119" s="51">
        <f>O119+P119</f>
        <v>32696.62</v>
      </c>
      <c r="R119" s="51"/>
      <c r="S119" s="51">
        <f>Q119+R119</f>
        <v>32696.62</v>
      </c>
      <c r="T119" s="51"/>
      <c r="U119" s="51">
        <f>S119+T119</f>
        <v>32696.62</v>
      </c>
      <c r="V119" s="51"/>
      <c r="W119" s="51">
        <f>U119+V119</f>
        <v>32696.62</v>
      </c>
      <c r="X119" s="51"/>
      <c r="Y119" s="51">
        <f>W119+X119</f>
        <v>32696.62</v>
      </c>
    </row>
    <row r="120" spans="1:25" x14ac:dyDescent="0.25">
      <c r="A120" s="68" t="s">
        <v>1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70"/>
    </row>
    <row r="121" spans="1:25" x14ac:dyDescent="0.25">
      <c r="A121" s="68" t="s">
        <v>84</v>
      </c>
      <c r="B121" s="70"/>
      <c r="C121" s="106">
        <f>C122+C123</f>
        <v>0</v>
      </c>
      <c r="D121" s="106">
        <f t="shared" ref="D121:Y121" si="116">D122+D123</f>
        <v>0</v>
      </c>
      <c r="E121" s="106">
        <f t="shared" si="116"/>
        <v>0</v>
      </c>
      <c r="F121" s="106">
        <f t="shared" si="116"/>
        <v>0</v>
      </c>
      <c r="G121" s="106">
        <f t="shared" si="116"/>
        <v>0</v>
      </c>
      <c r="H121" s="106">
        <f t="shared" si="116"/>
        <v>65732.679999999993</v>
      </c>
      <c r="I121" s="106">
        <f t="shared" si="116"/>
        <v>65732.679999999993</v>
      </c>
      <c r="J121" s="106">
        <f t="shared" si="116"/>
        <v>0</v>
      </c>
      <c r="K121" s="106">
        <f t="shared" si="116"/>
        <v>65732.679999999993</v>
      </c>
      <c r="L121" s="106">
        <f t="shared" si="116"/>
        <v>0</v>
      </c>
      <c r="M121" s="106">
        <f t="shared" si="116"/>
        <v>65732.679999999993</v>
      </c>
      <c r="N121" s="106">
        <f t="shared" si="116"/>
        <v>0</v>
      </c>
      <c r="O121" s="106">
        <f t="shared" si="116"/>
        <v>65732.679999999993</v>
      </c>
      <c r="P121" s="106">
        <f t="shared" si="116"/>
        <v>79000</v>
      </c>
      <c r="Q121" s="106">
        <f t="shared" si="116"/>
        <v>144732.68</v>
      </c>
      <c r="R121" s="106">
        <f t="shared" si="116"/>
        <v>0</v>
      </c>
      <c r="S121" s="106">
        <f t="shared" si="116"/>
        <v>144732.68</v>
      </c>
      <c r="T121" s="106">
        <f t="shared" si="116"/>
        <v>0</v>
      </c>
      <c r="U121" s="106">
        <f t="shared" si="116"/>
        <v>144732.68</v>
      </c>
      <c r="V121" s="106">
        <f t="shared" si="116"/>
        <v>0</v>
      </c>
      <c r="W121" s="106">
        <f t="shared" si="116"/>
        <v>144732.68</v>
      </c>
      <c r="X121" s="106">
        <f t="shared" si="116"/>
        <v>0</v>
      </c>
      <c r="Y121" s="106">
        <f t="shared" si="116"/>
        <v>144732.68</v>
      </c>
    </row>
    <row r="122" spans="1:25" s="7" customFormat="1" x14ac:dyDescent="0.25">
      <c r="A122" s="41" t="s">
        <v>129</v>
      </c>
      <c r="B122" s="41">
        <v>225</v>
      </c>
      <c r="C122" s="51"/>
      <c r="D122" s="51"/>
      <c r="E122" s="51">
        <f>C122+D122</f>
        <v>0</v>
      </c>
      <c r="F122" s="51"/>
      <c r="G122" s="51">
        <f>E122+F122</f>
        <v>0</v>
      </c>
      <c r="H122" s="51"/>
      <c r="I122" s="51">
        <f>G122+H122</f>
        <v>0</v>
      </c>
      <c r="J122" s="51"/>
      <c r="K122" s="51">
        <f>I122+J122</f>
        <v>0</v>
      </c>
      <c r="L122" s="51"/>
      <c r="M122" s="51">
        <f>K122+L122</f>
        <v>0</v>
      </c>
      <c r="N122" s="51"/>
      <c r="O122" s="51">
        <f>M122+N122</f>
        <v>0</v>
      </c>
      <c r="P122" s="51">
        <v>79000</v>
      </c>
      <c r="Q122" s="51">
        <f>O122+P122</f>
        <v>79000</v>
      </c>
      <c r="R122" s="51"/>
      <c r="S122" s="51">
        <f>Q122+R122</f>
        <v>79000</v>
      </c>
      <c r="T122" s="51"/>
      <c r="U122" s="51">
        <f>S122+T122</f>
        <v>79000</v>
      </c>
      <c r="V122" s="51"/>
      <c r="W122" s="51">
        <f>U122+V122</f>
        <v>79000</v>
      </c>
      <c r="X122" s="51"/>
      <c r="Y122" s="51">
        <f>W122+X122</f>
        <v>79000</v>
      </c>
    </row>
    <row r="123" spans="1:25" x14ac:dyDescent="0.25">
      <c r="A123" s="37" t="s">
        <v>82</v>
      </c>
      <c r="B123" s="38">
        <v>225</v>
      </c>
      <c r="C123" s="55"/>
      <c r="D123" s="51"/>
      <c r="E123" s="51">
        <f>C123+D123</f>
        <v>0</v>
      </c>
      <c r="F123" s="51"/>
      <c r="G123" s="51">
        <f>E123+F123</f>
        <v>0</v>
      </c>
      <c r="H123" s="51">
        <v>65732.679999999993</v>
      </c>
      <c r="I123" s="51">
        <f>G123+H123</f>
        <v>65732.679999999993</v>
      </c>
      <c r="J123" s="51"/>
      <c r="K123" s="51">
        <f>I123+J123</f>
        <v>65732.679999999993</v>
      </c>
      <c r="L123" s="51"/>
      <c r="M123" s="51">
        <f>K123+L123</f>
        <v>65732.679999999993</v>
      </c>
      <c r="N123" s="51"/>
      <c r="O123" s="51">
        <f>M123+N123</f>
        <v>65732.679999999993</v>
      </c>
      <c r="P123" s="51"/>
      <c r="Q123" s="51">
        <f>O123+P123</f>
        <v>65732.679999999993</v>
      </c>
      <c r="R123" s="51"/>
      <c r="S123" s="51">
        <f>Q123+R123</f>
        <v>65732.679999999993</v>
      </c>
      <c r="T123" s="51"/>
      <c r="U123" s="51">
        <f>S123+T123</f>
        <v>65732.679999999993</v>
      </c>
      <c r="V123" s="51"/>
      <c r="W123" s="51">
        <f>U123+V123</f>
        <v>65732.679999999993</v>
      </c>
      <c r="X123" s="51"/>
      <c r="Y123" s="51">
        <f>W123+X123</f>
        <v>65732.679999999993</v>
      </c>
    </row>
    <row r="124" spans="1:25" x14ac:dyDescent="0.25">
      <c r="A124" s="73" t="s">
        <v>1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5"/>
    </row>
    <row r="125" spans="1:25" x14ac:dyDescent="0.25">
      <c r="A125" s="73" t="s">
        <v>83</v>
      </c>
      <c r="B125" s="75"/>
      <c r="C125" s="52">
        <f>SUM(C126:C128)</f>
        <v>0</v>
      </c>
      <c r="D125" s="52">
        <f t="shared" ref="D125:Y125" si="117">SUM(D126:D128)</f>
        <v>0</v>
      </c>
      <c r="E125" s="52">
        <f t="shared" si="117"/>
        <v>0</v>
      </c>
      <c r="F125" s="52">
        <f t="shared" si="117"/>
        <v>0</v>
      </c>
      <c r="G125" s="52">
        <f t="shared" si="117"/>
        <v>0</v>
      </c>
      <c r="H125" s="52">
        <f t="shared" si="117"/>
        <v>70243.399999999994</v>
      </c>
      <c r="I125" s="52">
        <f t="shared" si="117"/>
        <v>70243.399999999994</v>
      </c>
      <c r="J125" s="52">
        <f t="shared" si="117"/>
        <v>0</v>
      </c>
      <c r="K125" s="52">
        <f t="shared" si="117"/>
        <v>70243.399999999994</v>
      </c>
      <c r="L125" s="52">
        <f t="shared" si="117"/>
        <v>84000</v>
      </c>
      <c r="M125" s="52">
        <f t="shared" si="117"/>
        <v>154243.4</v>
      </c>
      <c r="N125" s="52">
        <f t="shared" si="117"/>
        <v>0</v>
      </c>
      <c r="O125" s="52">
        <f t="shared" si="117"/>
        <v>154243.4</v>
      </c>
      <c r="P125" s="52">
        <f t="shared" si="117"/>
        <v>308799</v>
      </c>
      <c r="Q125" s="52">
        <f t="shared" si="117"/>
        <v>463042.4</v>
      </c>
      <c r="R125" s="52">
        <f t="shared" si="117"/>
        <v>0</v>
      </c>
      <c r="S125" s="52">
        <f t="shared" si="117"/>
        <v>463042.4</v>
      </c>
      <c r="T125" s="52">
        <f t="shared" si="117"/>
        <v>0</v>
      </c>
      <c r="U125" s="52">
        <f t="shared" si="117"/>
        <v>463042.4</v>
      </c>
      <c r="V125" s="52">
        <f t="shared" si="117"/>
        <v>0</v>
      </c>
      <c r="W125" s="52">
        <f t="shared" si="117"/>
        <v>463042.4</v>
      </c>
      <c r="X125" s="52">
        <f t="shared" si="117"/>
        <v>0</v>
      </c>
      <c r="Y125" s="52">
        <f t="shared" si="117"/>
        <v>463042.4</v>
      </c>
    </row>
    <row r="126" spans="1:25" x14ac:dyDescent="0.25">
      <c r="A126" s="37" t="s">
        <v>82</v>
      </c>
      <c r="B126" s="38">
        <v>225</v>
      </c>
      <c r="C126" s="55"/>
      <c r="D126" s="51"/>
      <c r="E126" s="51">
        <f>C126+D126</f>
        <v>0</v>
      </c>
      <c r="F126" s="51"/>
      <c r="G126" s="51">
        <f>E126+F126</f>
        <v>0</v>
      </c>
      <c r="H126" s="51">
        <v>34243.4</v>
      </c>
      <c r="I126" s="51">
        <f>G126+H126</f>
        <v>34243.4</v>
      </c>
      <c r="J126" s="51"/>
      <c r="K126" s="51">
        <f>I126+J126</f>
        <v>34243.4</v>
      </c>
      <c r="L126" s="51"/>
      <c r="M126" s="51">
        <f>K126+L126</f>
        <v>34243.4</v>
      </c>
      <c r="N126" s="51"/>
      <c r="O126" s="51">
        <f>M126+N126</f>
        <v>34243.4</v>
      </c>
      <c r="P126" s="51"/>
      <c r="Q126" s="51">
        <f>O126+P126</f>
        <v>34243.4</v>
      </c>
      <c r="R126" s="51"/>
      <c r="S126" s="118">
        <f>Q126+R126</f>
        <v>34243.4</v>
      </c>
      <c r="T126" s="51"/>
      <c r="U126" s="51">
        <f>S126+T126</f>
        <v>34243.4</v>
      </c>
      <c r="V126" s="51"/>
      <c r="W126" s="51">
        <f>U126+V126</f>
        <v>34243.4</v>
      </c>
      <c r="X126" s="51"/>
      <c r="Y126" s="51">
        <f>W126+X126</f>
        <v>34243.4</v>
      </c>
    </row>
    <row r="127" spans="1:25" x14ac:dyDescent="0.25">
      <c r="A127" s="42" t="s">
        <v>85</v>
      </c>
      <c r="B127" s="38">
        <v>225</v>
      </c>
      <c r="C127" s="55"/>
      <c r="D127" s="51"/>
      <c r="E127" s="51">
        <f>C127+D127</f>
        <v>0</v>
      </c>
      <c r="F127" s="51"/>
      <c r="G127" s="51">
        <f>E127+F127</f>
        <v>0</v>
      </c>
      <c r="H127" s="51">
        <v>36000</v>
      </c>
      <c r="I127" s="51">
        <f>G127+H127</f>
        <v>36000</v>
      </c>
      <c r="J127" s="51"/>
      <c r="K127" s="51">
        <f>I127+J127</f>
        <v>36000</v>
      </c>
      <c r="L127" s="51">
        <v>84000</v>
      </c>
      <c r="M127" s="51">
        <f>K127+L127</f>
        <v>120000</v>
      </c>
      <c r="N127" s="51"/>
      <c r="O127" s="51">
        <f>M127+N127</f>
        <v>120000</v>
      </c>
      <c r="P127" s="51"/>
      <c r="Q127" s="51">
        <f>O127+P127</f>
        <v>120000</v>
      </c>
      <c r="R127" s="51"/>
      <c r="S127" s="118">
        <f>Q127+R127</f>
        <v>120000</v>
      </c>
      <c r="T127" s="51"/>
      <c r="U127" s="51">
        <f>S127+T127</f>
        <v>120000</v>
      </c>
      <c r="V127" s="51"/>
      <c r="W127" s="51">
        <f>U127+V127</f>
        <v>120000</v>
      </c>
      <c r="X127" s="51"/>
      <c r="Y127" s="51">
        <f>W127+X127</f>
        <v>120000</v>
      </c>
    </row>
    <row r="128" spans="1:25" x14ac:dyDescent="0.25">
      <c r="A128" s="39" t="s">
        <v>129</v>
      </c>
      <c r="B128" s="38">
        <v>225</v>
      </c>
      <c r="C128" s="55"/>
      <c r="D128" s="51"/>
      <c r="E128" s="51">
        <f>C128+D128</f>
        <v>0</v>
      </c>
      <c r="F128" s="51"/>
      <c r="G128" s="51">
        <f>E128+F128</f>
        <v>0</v>
      </c>
      <c r="H128" s="51"/>
      <c r="I128" s="51">
        <f>G128+H128</f>
        <v>0</v>
      </c>
      <c r="J128" s="51"/>
      <c r="K128" s="51">
        <f>I128+J128</f>
        <v>0</v>
      </c>
      <c r="L128" s="51"/>
      <c r="M128" s="51">
        <f>K128+L128</f>
        <v>0</v>
      </c>
      <c r="N128" s="51"/>
      <c r="O128" s="51">
        <f>M128+N128</f>
        <v>0</v>
      </c>
      <c r="P128" s="51">
        <v>308799</v>
      </c>
      <c r="Q128" s="51">
        <f>O128+P128</f>
        <v>308799</v>
      </c>
      <c r="R128" s="51"/>
      <c r="S128" s="118">
        <f>Q128+R128</f>
        <v>308799</v>
      </c>
      <c r="T128" s="51"/>
      <c r="U128" s="51">
        <f>S128+T128</f>
        <v>308799</v>
      </c>
      <c r="V128" s="51"/>
      <c r="W128" s="51">
        <f>U128+V128</f>
        <v>308799</v>
      </c>
      <c r="X128" s="51"/>
      <c r="Y128" s="51">
        <f>W128+X128</f>
        <v>308799</v>
      </c>
    </row>
    <row r="129" spans="1:26" x14ac:dyDescent="0.25">
      <c r="A129" s="68" t="s">
        <v>16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70"/>
    </row>
    <row r="130" spans="1:26" x14ac:dyDescent="0.25">
      <c r="A130" s="27" t="s">
        <v>72</v>
      </c>
      <c r="B130" s="28">
        <v>251</v>
      </c>
      <c r="C130" s="107"/>
      <c r="D130" s="107"/>
      <c r="E130" s="107">
        <f>C130+D130</f>
        <v>0</v>
      </c>
      <c r="F130" s="107">
        <v>19430</v>
      </c>
      <c r="G130" s="107">
        <f>E130+F130</f>
        <v>19430</v>
      </c>
      <c r="H130" s="107">
        <v>0</v>
      </c>
      <c r="I130" s="107">
        <f>G130+H130</f>
        <v>19430</v>
      </c>
      <c r="J130" s="107">
        <v>0</v>
      </c>
      <c r="K130" s="107">
        <f>I130+J130</f>
        <v>19430</v>
      </c>
      <c r="L130" s="107">
        <v>19430</v>
      </c>
      <c r="M130" s="107">
        <f>K130+L130</f>
        <v>38860</v>
      </c>
      <c r="N130" s="107">
        <v>0</v>
      </c>
      <c r="O130" s="107">
        <f>M130+N130</f>
        <v>38860</v>
      </c>
      <c r="P130" s="107">
        <v>0</v>
      </c>
      <c r="Q130" s="107">
        <f>O130+P130</f>
        <v>38860</v>
      </c>
      <c r="R130" s="107">
        <v>19430</v>
      </c>
      <c r="S130" s="107">
        <f>Q130+R130</f>
        <v>58290</v>
      </c>
      <c r="T130" s="107">
        <v>0</v>
      </c>
      <c r="U130" s="107">
        <f>S130+T130</f>
        <v>58290</v>
      </c>
      <c r="V130" s="107">
        <v>0</v>
      </c>
      <c r="W130" s="107">
        <f>U130+V130</f>
        <v>58290</v>
      </c>
      <c r="X130" s="107">
        <v>0</v>
      </c>
      <c r="Y130" s="107">
        <f>W130+X130</f>
        <v>58290</v>
      </c>
      <c r="Z130" s="1"/>
    </row>
    <row r="131" spans="1:26" x14ac:dyDescent="0.25">
      <c r="A131" s="92" t="s">
        <v>1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4"/>
    </row>
    <row r="132" spans="1:26" x14ac:dyDescent="0.25">
      <c r="A132" s="92" t="s">
        <v>79</v>
      </c>
      <c r="B132" s="94"/>
      <c r="C132" s="108">
        <f>C133</f>
        <v>0</v>
      </c>
      <c r="D132" s="108">
        <f t="shared" ref="D132:Y132" si="118">SUM(D133:D133)</f>
        <v>0</v>
      </c>
      <c r="E132" s="108">
        <f t="shared" si="118"/>
        <v>0</v>
      </c>
      <c r="F132" s="108">
        <f t="shared" si="118"/>
        <v>0</v>
      </c>
      <c r="G132" s="108">
        <f t="shared" si="118"/>
        <v>0</v>
      </c>
      <c r="H132" s="108">
        <f t="shared" si="118"/>
        <v>11267</v>
      </c>
      <c r="I132" s="108">
        <f t="shared" si="118"/>
        <v>11267</v>
      </c>
      <c r="J132" s="108">
        <f t="shared" si="118"/>
        <v>0</v>
      </c>
      <c r="K132" s="108">
        <f t="shared" si="118"/>
        <v>11267</v>
      </c>
      <c r="L132" s="108">
        <f t="shared" si="118"/>
        <v>0</v>
      </c>
      <c r="M132" s="108">
        <f t="shared" si="118"/>
        <v>11267</v>
      </c>
      <c r="N132" s="108">
        <f t="shared" si="118"/>
        <v>0</v>
      </c>
      <c r="O132" s="108">
        <f t="shared" si="118"/>
        <v>11267</v>
      </c>
      <c r="P132" s="108">
        <f t="shared" si="118"/>
        <v>0</v>
      </c>
      <c r="Q132" s="108">
        <f t="shared" si="118"/>
        <v>11267</v>
      </c>
      <c r="R132" s="108">
        <f t="shared" si="118"/>
        <v>0</v>
      </c>
      <c r="S132" s="108">
        <f t="shared" si="118"/>
        <v>11267</v>
      </c>
      <c r="T132" s="108">
        <f t="shared" si="118"/>
        <v>0</v>
      </c>
      <c r="U132" s="108">
        <f t="shared" si="118"/>
        <v>11267</v>
      </c>
      <c r="V132" s="108">
        <f t="shared" si="118"/>
        <v>0</v>
      </c>
      <c r="W132" s="108">
        <f t="shared" si="118"/>
        <v>11267</v>
      </c>
      <c r="X132" s="108">
        <f t="shared" si="118"/>
        <v>0</v>
      </c>
      <c r="Y132" s="108">
        <f t="shared" si="118"/>
        <v>11267</v>
      </c>
    </row>
    <row r="133" spans="1:26" x14ac:dyDescent="0.25">
      <c r="A133" s="37" t="s">
        <v>78</v>
      </c>
      <c r="B133" s="38">
        <v>226</v>
      </c>
      <c r="C133" s="55"/>
      <c r="D133" s="51">
        <v>0</v>
      </c>
      <c r="E133" s="51">
        <f>C133+D133</f>
        <v>0</v>
      </c>
      <c r="F133" s="51"/>
      <c r="G133" s="51">
        <f>E133+F133</f>
        <v>0</v>
      </c>
      <c r="H133" s="51">
        <f>3380+7887</f>
        <v>11267</v>
      </c>
      <c r="I133" s="51">
        <f>G133+H133</f>
        <v>11267</v>
      </c>
      <c r="J133" s="51"/>
      <c r="K133" s="51">
        <f>I133+J133</f>
        <v>11267</v>
      </c>
      <c r="L133" s="51"/>
      <c r="M133" s="51">
        <f>K133+L133</f>
        <v>11267</v>
      </c>
      <c r="N133" s="51"/>
      <c r="O133" s="51">
        <f>M133+N133</f>
        <v>11267</v>
      </c>
      <c r="P133" s="51"/>
      <c r="Q133" s="51">
        <f>O133+P133</f>
        <v>11267</v>
      </c>
      <c r="R133" s="51"/>
      <c r="S133" s="51">
        <f>Q133+R133</f>
        <v>11267</v>
      </c>
      <c r="T133" s="51"/>
      <c r="U133" s="51">
        <f>S133+T133</f>
        <v>11267</v>
      </c>
      <c r="V133" s="51"/>
      <c r="W133" s="51">
        <f>U133+V133</f>
        <v>11267</v>
      </c>
      <c r="X133" s="51"/>
      <c r="Y133" s="51">
        <f>W133+X133</f>
        <v>11267</v>
      </c>
    </row>
    <row r="134" spans="1:26" x14ac:dyDescent="0.25">
      <c r="A134" s="78" t="s">
        <v>16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80"/>
    </row>
    <row r="135" spans="1:26" x14ac:dyDescent="0.25">
      <c r="A135" s="78" t="s">
        <v>75</v>
      </c>
      <c r="B135" s="80"/>
      <c r="C135" s="109">
        <f>SUM(C136:C136)</f>
        <v>0</v>
      </c>
      <c r="D135" s="109">
        <f>SUM(D136:D136)</f>
        <v>0</v>
      </c>
      <c r="E135" s="109">
        <f>C135+D135</f>
        <v>0</v>
      </c>
      <c r="F135" s="109">
        <f>SUM(F136:F136)</f>
        <v>3106.11</v>
      </c>
      <c r="G135" s="109">
        <f>E135+F135</f>
        <v>3106.11</v>
      </c>
      <c r="H135" s="109">
        <f>SUM(H136:H136)</f>
        <v>0</v>
      </c>
      <c r="I135" s="109">
        <f>G135+H135</f>
        <v>3106.11</v>
      </c>
      <c r="J135" s="109">
        <f>SUM(J136:J136)</f>
        <v>0</v>
      </c>
      <c r="K135" s="109">
        <f>I135+J135</f>
        <v>3106.11</v>
      </c>
      <c r="L135" s="109">
        <f>SUM(L136:L136)</f>
        <v>0</v>
      </c>
      <c r="M135" s="109">
        <f>K135+L135</f>
        <v>3106.11</v>
      </c>
      <c r="N135" s="109">
        <f>SUM(N136:N136)</f>
        <v>0</v>
      </c>
      <c r="O135" s="109">
        <f>M135+N135</f>
        <v>3106.11</v>
      </c>
      <c r="P135" s="109">
        <f>SUM(P136:P136)</f>
        <v>0</v>
      </c>
      <c r="Q135" s="109">
        <f>O135+P135</f>
        <v>3106.11</v>
      </c>
      <c r="R135" s="109">
        <f>SUM(R136:R136)</f>
        <v>0</v>
      </c>
      <c r="S135" s="109">
        <f>Q135+R135</f>
        <v>3106.11</v>
      </c>
      <c r="T135" s="109">
        <f>SUM(T136:T136)</f>
        <v>0</v>
      </c>
      <c r="U135" s="109">
        <f>S135+T135</f>
        <v>3106.11</v>
      </c>
      <c r="V135" s="109">
        <f>SUM(V136:V136)</f>
        <v>0</v>
      </c>
      <c r="W135" s="109">
        <f>U135+V135</f>
        <v>3106.11</v>
      </c>
      <c r="X135" s="109">
        <f>SUM(X136:X136)</f>
        <v>0</v>
      </c>
      <c r="Y135" s="109">
        <f>SUM(Y136:Y136)</f>
        <v>3106.11</v>
      </c>
      <c r="Z135" s="1"/>
    </row>
    <row r="136" spans="1:26" x14ac:dyDescent="0.25">
      <c r="A136" s="15" t="s">
        <v>74</v>
      </c>
      <c r="B136" s="15">
        <v>225</v>
      </c>
      <c r="C136" s="46"/>
      <c r="D136" s="46"/>
      <c r="E136" s="46">
        <f>C136+D136</f>
        <v>0</v>
      </c>
      <c r="F136" s="46">
        <v>3106.11</v>
      </c>
      <c r="G136" s="46">
        <f>E136+F136</f>
        <v>3106.11</v>
      </c>
      <c r="H136" s="46"/>
      <c r="I136" s="46">
        <f>G136+H136</f>
        <v>3106.11</v>
      </c>
      <c r="J136" s="46"/>
      <c r="K136" s="46">
        <f>I136+J136</f>
        <v>3106.11</v>
      </c>
      <c r="L136" s="46"/>
      <c r="M136" s="46">
        <f>K136+L136</f>
        <v>3106.11</v>
      </c>
      <c r="N136" s="46"/>
      <c r="O136" s="46">
        <f>M136+N136</f>
        <v>3106.11</v>
      </c>
      <c r="P136" s="46"/>
      <c r="Q136" s="46">
        <f>O136+P136</f>
        <v>3106.11</v>
      </c>
      <c r="R136" s="46"/>
      <c r="S136" s="46">
        <f>Q136+R136</f>
        <v>3106.11</v>
      </c>
      <c r="T136" s="46"/>
      <c r="U136" s="46">
        <f>S136+T136</f>
        <v>3106.11</v>
      </c>
      <c r="V136" s="46"/>
      <c r="W136" s="46">
        <f>U136+V136</f>
        <v>3106.11</v>
      </c>
      <c r="X136" s="46"/>
      <c r="Y136" s="46">
        <f>W136+X136</f>
        <v>3106.11</v>
      </c>
    </row>
    <row r="137" spans="1:26" x14ac:dyDescent="0.25">
      <c r="A137" s="95" t="s">
        <v>16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7"/>
    </row>
    <row r="138" spans="1:26" x14ac:dyDescent="0.25">
      <c r="A138" s="95" t="s">
        <v>32</v>
      </c>
      <c r="B138" s="97"/>
      <c r="C138" s="110">
        <f>SUM(C139:C139)</f>
        <v>79230.86</v>
      </c>
      <c r="D138" s="110">
        <f>SUM(D139:D139)</f>
        <v>109083.87</v>
      </c>
      <c r="E138" s="110">
        <f>C138+D138</f>
        <v>188314.72999999998</v>
      </c>
      <c r="F138" s="110">
        <f>SUM(F139:F139)</f>
        <v>67203.839999999997</v>
      </c>
      <c r="G138" s="110">
        <f>E138+F138</f>
        <v>255518.56999999998</v>
      </c>
      <c r="H138" s="110">
        <f>SUM(H139:H139)</f>
        <v>48175.39</v>
      </c>
      <c r="I138" s="110">
        <f>G138+H138</f>
        <v>303693.95999999996</v>
      </c>
      <c r="J138" s="110">
        <f>SUM(J139:J139)</f>
        <v>59817.31</v>
      </c>
      <c r="K138" s="110">
        <f>I138+J138</f>
        <v>363511.26999999996</v>
      </c>
      <c r="L138" s="110">
        <f>SUM(L139:L139)</f>
        <v>29438.21</v>
      </c>
      <c r="M138" s="110">
        <f>K138+L138</f>
        <v>392949.48</v>
      </c>
      <c r="N138" s="110">
        <f>SUM(N139:N139)</f>
        <v>13325.84</v>
      </c>
      <c r="O138" s="110">
        <f>M138+N138</f>
        <v>406275.32</v>
      </c>
      <c r="P138" s="110">
        <f>SUM(P139:P139)</f>
        <v>43434.9</v>
      </c>
      <c r="Q138" s="110">
        <f>O138+P138</f>
        <v>449710.22000000003</v>
      </c>
      <c r="R138" s="110">
        <f>SUM(R139:R139)</f>
        <v>46025.18</v>
      </c>
      <c r="S138" s="110">
        <f>Q138+R138</f>
        <v>495735.4</v>
      </c>
      <c r="T138" s="110">
        <f>SUM(T139:T139)</f>
        <v>0</v>
      </c>
      <c r="U138" s="110">
        <f>S138+T138</f>
        <v>495735.4</v>
      </c>
      <c r="V138" s="110">
        <f>SUM(V139:V139)</f>
        <v>0</v>
      </c>
      <c r="W138" s="110">
        <f>U138+V138</f>
        <v>495735.4</v>
      </c>
      <c r="X138" s="110">
        <f>SUM(X139:X139)</f>
        <v>0</v>
      </c>
      <c r="Y138" s="110">
        <f>SUM(Y139:Y139)</f>
        <v>495735.4</v>
      </c>
      <c r="Z138" s="1"/>
    </row>
    <row r="139" spans="1:26" x14ac:dyDescent="0.25">
      <c r="A139" s="15" t="s">
        <v>29</v>
      </c>
      <c r="B139" s="15">
        <v>223</v>
      </c>
      <c r="C139" s="46">
        <f>29922.97+40996.89+8311</f>
        <v>79230.86</v>
      </c>
      <c r="D139" s="46">
        <f>30690.67+44562.26+33830.94</f>
        <v>109083.87</v>
      </c>
      <c r="E139" s="46">
        <f>C139+D139</f>
        <v>188314.72999999998</v>
      </c>
      <c r="F139" s="46">
        <f>27098.69+32424.25+7680.9</f>
        <v>67203.839999999997</v>
      </c>
      <c r="G139" s="46">
        <f>E139+F139</f>
        <v>255518.56999999998</v>
      </c>
      <c r="H139" s="46">
        <f>19178.16+3028.25+25968.98</f>
        <v>48175.39</v>
      </c>
      <c r="I139" s="46">
        <f>G139+H139</f>
        <v>303693.95999999996</v>
      </c>
      <c r="J139" s="46">
        <f>18769.5+15733.7+25314.11</f>
        <v>59817.31</v>
      </c>
      <c r="K139" s="46">
        <f>I139+J139</f>
        <v>363511.26999999996</v>
      </c>
      <c r="L139" s="46">
        <f>13423.43+16014.78</f>
        <v>29438.21</v>
      </c>
      <c r="M139" s="46">
        <f>K139+L139</f>
        <v>392949.48</v>
      </c>
      <c r="N139" s="46">
        <f>8509.12+4816.72</f>
        <v>13325.84</v>
      </c>
      <c r="O139" s="46">
        <f>M139+N139</f>
        <v>406275.32</v>
      </c>
      <c r="P139" s="46">
        <f>10627.5+1004.95+13521.11+18281.34</f>
        <v>43434.9</v>
      </c>
      <c r="Q139" s="46">
        <f>O139+P139</f>
        <v>449710.22000000003</v>
      </c>
      <c r="R139" s="46">
        <f>11941.62+16218.74+17864.82</f>
        <v>46025.18</v>
      </c>
      <c r="S139" s="46">
        <f>Q139+R139</f>
        <v>495735.4</v>
      </c>
      <c r="T139" s="46"/>
      <c r="U139" s="46">
        <f>S139+T139</f>
        <v>495735.4</v>
      </c>
      <c r="V139" s="46"/>
      <c r="W139" s="46">
        <f>U139+V139</f>
        <v>495735.4</v>
      </c>
      <c r="X139" s="46"/>
      <c r="Y139" s="46">
        <f>W139+X139</f>
        <v>495735.4</v>
      </c>
    </row>
    <row r="140" spans="1:26" x14ac:dyDescent="0.25">
      <c r="A140" s="98" t="s">
        <v>16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100"/>
    </row>
    <row r="141" spans="1:26" x14ac:dyDescent="0.25">
      <c r="A141" s="98" t="s">
        <v>91</v>
      </c>
      <c r="B141" s="100"/>
      <c r="C141" s="111">
        <f>SUM(C142:C143)</f>
        <v>0</v>
      </c>
      <c r="D141" s="111">
        <f t="shared" ref="D141:Y141" si="119">SUM(D142:D143)</f>
        <v>0</v>
      </c>
      <c r="E141" s="111">
        <f t="shared" si="119"/>
        <v>0</v>
      </c>
      <c r="F141" s="111">
        <f t="shared" si="119"/>
        <v>0</v>
      </c>
      <c r="G141" s="111">
        <f t="shared" si="119"/>
        <v>0</v>
      </c>
      <c r="H141" s="111">
        <f t="shared" si="119"/>
        <v>26415.1</v>
      </c>
      <c r="I141" s="111">
        <f t="shared" si="119"/>
        <v>26415.1</v>
      </c>
      <c r="J141" s="111">
        <f t="shared" si="119"/>
        <v>0</v>
      </c>
      <c r="K141" s="111">
        <f t="shared" si="119"/>
        <v>26415.1</v>
      </c>
      <c r="L141" s="111">
        <f t="shared" si="119"/>
        <v>0</v>
      </c>
      <c r="M141" s="111">
        <f t="shared" si="119"/>
        <v>26415.1</v>
      </c>
      <c r="N141" s="111">
        <f t="shared" si="119"/>
        <v>0</v>
      </c>
      <c r="O141" s="111">
        <f t="shared" si="119"/>
        <v>26415.1</v>
      </c>
      <c r="P141" s="111">
        <f t="shared" si="119"/>
        <v>0</v>
      </c>
      <c r="Q141" s="111">
        <f t="shared" si="119"/>
        <v>26415.1</v>
      </c>
      <c r="R141" s="111">
        <f t="shared" si="119"/>
        <v>2916</v>
      </c>
      <c r="S141" s="111">
        <f t="shared" si="119"/>
        <v>29331.1</v>
      </c>
      <c r="T141" s="111">
        <f t="shared" si="119"/>
        <v>0</v>
      </c>
      <c r="U141" s="111">
        <f t="shared" si="119"/>
        <v>29331.1</v>
      </c>
      <c r="V141" s="111">
        <f t="shared" si="119"/>
        <v>0</v>
      </c>
      <c r="W141" s="111">
        <f t="shared" si="119"/>
        <v>29331.1</v>
      </c>
      <c r="X141" s="111">
        <f t="shared" si="119"/>
        <v>0</v>
      </c>
      <c r="Y141" s="111">
        <f t="shared" si="119"/>
        <v>29331.1</v>
      </c>
      <c r="Z141" s="1"/>
    </row>
    <row r="142" spans="1:26" x14ac:dyDescent="0.25">
      <c r="A142" s="15" t="s">
        <v>147</v>
      </c>
      <c r="B142" s="15">
        <v>225</v>
      </c>
      <c r="C142" s="46"/>
      <c r="D142" s="46"/>
      <c r="E142" s="46">
        <f>C142+D142</f>
        <v>0</v>
      </c>
      <c r="F142" s="46"/>
      <c r="G142" s="46">
        <f>E142+F142</f>
        <v>0</v>
      </c>
      <c r="H142" s="46">
        <v>26415.1</v>
      </c>
      <c r="I142" s="46">
        <f>G142+H142</f>
        <v>26415.1</v>
      </c>
      <c r="J142" s="46"/>
      <c r="K142" s="46">
        <f>I142+J142</f>
        <v>26415.1</v>
      </c>
      <c r="L142" s="46"/>
      <c r="M142" s="46">
        <f>K142+L142</f>
        <v>26415.1</v>
      </c>
      <c r="N142" s="46"/>
      <c r="O142" s="46">
        <f>M142+N142</f>
        <v>26415.1</v>
      </c>
      <c r="P142" s="46"/>
      <c r="Q142" s="46">
        <f>O142+P142</f>
        <v>26415.1</v>
      </c>
      <c r="R142" s="46"/>
      <c r="S142" s="46">
        <f>Q142+R142</f>
        <v>26415.1</v>
      </c>
      <c r="T142" s="46"/>
      <c r="U142" s="46">
        <f>S142+T142</f>
        <v>26415.1</v>
      </c>
      <c r="V142" s="46"/>
      <c r="W142" s="46">
        <f>U142+V142</f>
        <v>26415.1</v>
      </c>
      <c r="X142" s="46"/>
      <c r="Y142" s="46">
        <f>W142+X142</f>
        <v>26415.1</v>
      </c>
    </row>
    <row r="143" spans="1:26" x14ac:dyDescent="0.25">
      <c r="A143" s="15" t="s">
        <v>101</v>
      </c>
      <c r="B143" s="15">
        <v>225</v>
      </c>
      <c r="C143" s="46"/>
      <c r="D143" s="46"/>
      <c r="E143" s="46">
        <f>C143+D143</f>
        <v>0</v>
      </c>
      <c r="F143" s="46"/>
      <c r="G143" s="46">
        <f>E143+F143</f>
        <v>0</v>
      </c>
      <c r="H143" s="46"/>
      <c r="I143" s="46">
        <f>G143+H143</f>
        <v>0</v>
      </c>
      <c r="J143" s="46"/>
      <c r="K143" s="46">
        <f>I143+J143</f>
        <v>0</v>
      </c>
      <c r="L143" s="46"/>
      <c r="M143" s="46">
        <f>K143+L143</f>
        <v>0</v>
      </c>
      <c r="N143" s="46"/>
      <c r="O143" s="46">
        <f>M143+N143</f>
        <v>0</v>
      </c>
      <c r="P143" s="46"/>
      <c r="Q143" s="46">
        <f>O143+P143</f>
        <v>0</v>
      </c>
      <c r="R143" s="46">
        <v>2916</v>
      </c>
      <c r="S143" s="46">
        <f>Q143+R143</f>
        <v>2916</v>
      </c>
      <c r="T143" s="46"/>
      <c r="U143" s="46">
        <f>S143+T143</f>
        <v>2916</v>
      </c>
      <c r="V143" s="46"/>
      <c r="W143" s="46">
        <f>U143+V143</f>
        <v>2916</v>
      </c>
      <c r="X143" s="46"/>
      <c r="Y143" s="46">
        <f>W143+X143</f>
        <v>2916</v>
      </c>
    </row>
    <row r="144" spans="1:26" x14ac:dyDescent="0.25">
      <c r="A144" s="73" t="s">
        <v>16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5"/>
    </row>
    <row r="145" spans="1:26" x14ac:dyDescent="0.25">
      <c r="A145" s="73" t="s">
        <v>42</v>
      </c>
      <c r="B145" s="75"/>
      <c r="C145" s="52">
        <f>C146+C148+C154+C156+C158</f>
        <v>0</v>
      </c>
      <c r="D145" s="52">
        <f t="shared" ref="D145:Y145" si="120">D146+D148+D154+D156+D158</f>
        <v>32488</v>
      </c>
      <c r="E145" s="52">
        <f t="shared" si="120"/>
        <v>32488</v>
      </c>
      <c r="F145" s="52">
        <f t="shared" si="120"/>
        <v>32488</v>
      </c>
      <c r="G145" s="52">
        <f t="shared" si="120"/>
        <v>64976</v>
      </c>
      <c r="H145" s="52">
        <f t="shared" si="120"/>
        <v>54534.92</v>
      </c>
      <c r="I145" s="52">
        <f t="shared" si="120"/>
        <v>119510.92</v>
      </c>
      <c r="J145" s="52">
        <f t="shared" si="120"/>
        <v>100142.18000000001</v>
      </c>
      <c r="K145" s="52">
        <f t="shared" si="120"/>
        <v>219653.1</v>
      </c>
      <c r="L145" s="52">
        <f t="shared" si="120"/>
        <v>15970.21</v>
      </c>
      <c r="M145" s="52">
        <f t="shared" si="120"/>
        <v>235623.31</v>
      </c>
      <c r="N145" s="52">
        <f t="shared" si="120"/>
        <v>72196.800000000003</v>
      </c>
      <c r="O145" s="52">
        <f t="shared" si="120"/>
        <v>307820.11</v>
      </c>
      <c r="P145" s="52">
        <f t="shared" si="120"/>
        <v>119078.48999999999</v>
      </c>
      <c r="Q145" s="52">
        <f t="shared" si="120"/>
        <v>426898.6</v>
      </c>
      <c r="R145" s="52">
        <f t="shared" si="120"/>
        <v>94737.97</v>
      </c>
      <c r="S145" s="52">
        <f t="shared" si="120"/>
        <v>521636.57</v>
      </c>
      <c r="T145" s="52">
        <f t="shared" si="120"/>
        <v>0</v>
      </c>
      <c r="U145" s="52">
        <f t="shared" si="120"/>
        <v>521636.57</v>
      </c>
      <c r="V145" s="52">
        <f t="shared" si="120"/>
        <v>0</v>
      </c>
      <c r="W145" s="52">
        <f t="shared" si="120"/>
        <v>521636.57</v>
      </c>
      <c r="X145" s="52">
        <f t="shared" si="120"/>
        <v>0</v>
      </c>
      <c r="Y145" s="52">
        <f t="shared" si="120"/>
        <v>521636.57</v>
      </c>
      <c r="Z145" s="1"/>
    </row>
    <row r="146" spans="1:26" x14ac:dyDescent="0.25">
      <c r="A146" s="101" t="s">
        <v>125</v>
      </c>
      <c r="B146" s="102"/>
      <c r="C146" s="52">
        <f>C147</f>
        <v>0</v>
      </c>
      <c r="D146" s="52">
        <f t="shared" ref="D146:Y146" si="121">D147</f>
        <v>0</v>
      </c>
      <c r="E146" s="52">
        <f t="shared" si="121"/>
        <v>0</v>
      </c>
      <c r="F146" s="52">
        <f t="shared" si="121"/>
        <v>0</v>
      </c>
      <c r="G146" s="52">
        <f t="shared" si="121"/>
        <v>0</v>
      </c>
      <c r="H146" s="52">
        <f t="shared" si="121"/>
        <v>0</v>
      </c>
      <c r="I146" s="52">
        <f t="shared" si="121"/>
        <v>0</v>
      </c>
      <c r="J146" s="52">
        <f t="shared" si="121"/>
        <v>0</v>
      </c>
      <c r="K146" s="52">
        <f t="shared" si="121"/>
        <v>0</v>
      </c>
      <c r="L146" s="52">
        <f t="shared" si="121"/>
        <v>0</v>
      </c>
      <c r="M146" s="52">
        <f t="shared" si="121"/>
        <v>0</v>
      </c>
      <c r="N146" s="52">
        <f t="shared" si="121"/>
        <v>0</v>
      </c>
      <c r="O146" s="52">
        <f t="shared" si="121"/>
        <v>0</v>
      </c>
      <c r="P146" s="52">
        <f t="shared" si="121"/>
        <v>8760</v>
      </c>
      <c r="Q146" s="52">
        <f t="shared" si="121"/>
        <v>8760</v>
      </c>
      <c r="R146" s="52">
        <f t="shared" si="121"/>
        <v>0</v>
      </c>
      <c r="S146" s="52">
        <f t="shared" si="121"/>
        <v>8760</v>
      </c>
      <c r="T146" s="52">
        <f t="shared" si="121"/>
        <v>0</v>
      </c>
      <c r="U146" s="52">
        <f t="shared" si="121"/>
        <v>8760</v>
      </c>
      <c r="V146" s="52">
        <f t="shared" si="121"/>
        <v>0</v>
      </c>
      <c r="W146" s="52">
        <f t="shared" si="121"/>
        <v>8760</v>
      </c>
      <c r="X146" s="52">
        <f t="shared" si="121"/>
        <v>0</v>
      </c>
      <c r="Y146" s="52">
        <f t="shared" si="121"/>
        <v>8760</v>
      </c>
      <c r="Z146" s="1"/>
    </row>
    <row r="147" spans="1:26" x14ac:dyDescent="0.25">
      <c r="A147" s="15" t="s">
        <v>126</v>
      </c>
      <c r="B147" s="15">
        <v>222</v>
      </c>
      <c r="C147" s="48"/>
      <c r="D147" s="48"/>
      <c r="E147" s="48">
        <f>C147+D147</f>
        <v>0</v>
      </c>
      <c r="F147" s="48"/>
      <c r="G147" s="48">
        <f>E147+F147</f>
        <v>0</v>
      </c>
      <c r="H147" s="48"/>
      <c r="I147" s="48">
        <f>G147+H147</f>
        <v>0</v>
      </c>
      <c r="J147" s="48"/>
      <c r="K147" s="48">
        <f>I147+J147</f>
        <v>0</v>
      </c>
      <c r="L147" s="48"/>
      <c r="M147" s="48">
        <f>K147+L147</f>
        <v>0</v>
      </c>
      <c r="N147" s="48"/>
      <c r="O147" s="48">
        <f>M147+N147</f>
        <v>0</v>
      </c>
      <c r="P147" s="48">
        <v>8760</v>
      </c>
      <c r="Q147" s="48">
        <f>O147+P147</f>
        <v>8760</v>
      </c>
      <c r="R147" s="48"/>
      <c r="S147" s="48">
        <f>Q147+R147</f>
        <v>8760</v>
      </c>
      <c r="T147" s="48"/>
      <c r="U147" s="48">
        <f>S147+T147</f>
        <v>8760</v>
      </c>
      <c r="V147" s="48"/>
      <c r="W147" s="48">
        <f>U147+V147</f>
        <v>8760</v>
      </c>
      <c r="X147" s="48"/>
      <c r="Y147" s="48">
        <f>W147+X147</f>
        <v>8760</v>
      </c>
    </row>
    <row r="148" spans="1:26" x14ac:dyDescent="0.25">
      <c r="A148" s="101" t="s">
        <v>55</v>
      </c>
      <c r="B148" s="102"/>
      <c r="C148" s="52">
        <f>SUM(C149:C153)</f>
        <v>0</v>
      </c>
      <c r="D148" s="52">
        <f t="shared" ref="D148:Y148" si="122">SUM(D149:D153)</f>
        <v>32488</v>
      </c>
      <c r="E148" s="52">
        <f t="shared" si="122"/>
        <v>32488</v>
      </c>
      <c r="F148" s="52">
        <f t="shared" si="122"/>
        <v>32488</v>
      </c>
      <c r="G148" s="52">
        <f t="shared" si="122"/>
        <v>64976</v>
      </c>
      <c r="H148" s="52">
        <f t="shared" si="122"/>
        <v>54534.92</v>
      </c>
      <c r="I148" s="52">
        <f t="shared" si="122"/>
        <v>119510.92</v>
      </c>
      <c r="J148" s="52">
        <f t="shared" si="122"/>
        <v>100142.18000000001</v>
      </c>
      <c r="K148" s="52">
        <f t="shared" si="122"/>
        <v>219653.1</v>
      </c>
      <c r="L148" s="52">
        <f t="shared" si="122"/>
        <v>15970.21</v>
      </c>
      <c r="M148" s="52">
        <f t="shared" si="122"/>
        <v>235623.31</v>
      </c>
      <c r="N148" s="52">
        <f t="shared" si="122"/>
        <v>68224.800000000003</v>
      </c>
      <c r="O148" s="52">
        <f t="shared" si="122"/>
        <v>303848.11</v>
      </c>
      <c r="P148" s="52">
        <f t="shared" si="122"/>
        <v>10578.49</v>
      </c>
      <c r="Q148" s="52">
        <f t="shared" si="122"/>
        <v>314426.59999999998</v>
      </c>
      <c r="R148" s="52">
        <f t="shared" si="122"/>
        <v>94737.97</v>
      </c>
      <c r="S148" s="52">
        <f t="shared" si="122"/>
        <v>409164.57</v>
      </c>
      <c r="T148" s="52">
        <f t="shared" si="122"/>
        <v>0</v>
      </c>
      <c r="U148" s="52">
        <f t="shared" si="122"/>
        <v>409164.57</v>
      </c>
      <c r="V148" s="52">
        <f t="shared" si="122"/>
        <v>0</v>
      </c>
      <c r="W148" s="52">
        <f t="shared" si="122"/>
        <v>409164.57</v>
      </c>
      <c r="X148" s="52">
        <f t="shared" si="122"/>
        <v>0</v>
      </c>
      <c r="Y148" s="52">
        <f t="shared" si="122"/>
        <v>409164.57</v>
      </c>
      <c r="Z148" s="1"/>
    </row>
    <row r="149" spans="1:26" x14ac:dyDescent="0.25">
      <c r="A149" s="15" t="s">
        <v>41</v>
      </c>
      <c r="B149" s="15">
        <v>225</v>
      </c>
      <c r="C149" s="48"/>
      <c r="D149" s="48">
        <v>32488</v>
      </c>
      <c r="E149" s="48">
        <f>C149+D149</f>
        <v>32488</v>
      </c>
      <c r="F149" s="48">
        <v>32488</v>
      </c>
      <c r="G149" s="48">
        <f>E149+F149</f>
        <v>64976</v>
      </c>
      <c r="H149" s="48">
        <v>32488</v>
      </c>
      <c r="I149" s="48">
        <f>G149+H149</f>
        <v>97464</v>
      </c>
      <c r="J149" s="48">
        <v>29239.200000000001</v>
      </c>
      <c r="K149" s="48">
        <f>I149+J149</f>
        <v>126703.2</v>
      </c>
      <c r="L149" s="48"/>
      <c r="M149" s="48">
        <f>K149+L149</f>
        <v>126703.2</v>
      </c>
      <c r="N149" s="48">
        <v>68224.800000000003</v>
      </c>
      <c r="O149" s="48">
        <f>M149+N149</f>
        <v>194928</v>
      </c>
      <c r="P149" s="48"/>
      <c r="Q149" s="48">
        <f>O149+P149</f>
        <v>194928</v>
      </c>
      <c r="R149" s="48">
        <v>58478.400000000001</v>
      </c>
      <c r="S149" s="48">
        <f>Q149+R149</f>
        <v>253406.4</v>
      </c>
      <c r="T149" s="48"/>
      <c r="U149" s="48">
        <f>S149+T149</f>
        <v>253406.4</v>
      </c>
      <c r="V149" s="48"/>
      <c r="W149" s="48">
        <f>U149+V149</f>
        <v>253406.4</v>
      </c>
      <c r="X149" s="48"/>
      <c r="Y149" s="48">
        <f>W149+X149</f>
        <v>253406.4</v>
      </c>
    </row>
    <row r="150" spans="1:26" x14ac:dyDescent="0.25">
      <c r="A150" s="15" t="s">
        <v>98</v>
      </c>
      <c r="B150" s="15">
        <v>225</v>
      </c>
      <c r="C150" s="48"/>
      <c r="D150" s="48"/>
      <c r="E150" s="48">
        <f t="shared" ref="E150:E153" si="123">C150+D150</f>
        <v>0</v>
      </c>
      <c r="F150" s="48"/>
      <c r="G150" s="48">
        <f t="shared" ref="G150:G153" si="124">E150+F150</f>
        <v>0</v>
      </c>
      <c r="H150" s="48"/>
      <c r="I150" s="48">
        <f>G150+H150</f>
        <v>0</v>
      </c>
      <c r="J150" s="48">
        <v>9000</v>
      </c>
      <c r="K150" s="48">
        <f>I150+J150</f>
        <v>9000</v>
      </c>
      <c r="L150" s="48"/>
      <c r="M150" s="48">
        <f>K150+L150</f>
        <v>9000</v>
      </c>
      <c r="N150" s="48"/>
      <c r="O150" s="48">
        <f>M150+N150</f>
        <v>9000</v>
      </c>
      <c r="P150" s="48"/>
      <c r="Q150" s="48">
        <f>O150+P150</f>
        <v>9000</v>
      </c>
      <c r="R150" s="48"/>
      <c r="S150" s="48">
        <f>Q150+R150</f>
        <v>9000</v>
      </c>
      <c r="T150" s="48"/>
      <c r="U150" s="48">
        <f>S150+T150</f>
        <v>9000</v>
      </c>
      <c r="V150" s="48"/>
      <c r="W150" s="48">
        <f>U150+V150</f>
        <v>9000</v>
      </c>
      <c r="X150" s="48"/>
      <c r="Y150" s="48">
        <f>W150+X150</f>
        <v>9000</v>
      </c>
    </row>
    <row r="151" spans="1:26" x14ac:dyDescent="0.25">
      <c r="A151" s="15" t="s">
        <v>101</v>
      </c>
      <c r="B151" s="15">
        <v>225</v>
      </c>
      <c r="C151" s="48"/>
      <c r="D151" s="48"/>
      <c r="E151" s="48">
        <f t="shared" si="123"/>
        <v>0</v>
      </c>
      <c r="F151" s="48"/>
      <c r="G151" s="48">
        <f t="shared" si="124"/>
        <v>0</v>
      </c>
      <c r="H151" s="48"/>
      <c r="I151" s="48">
        <f>G151+H151</f>
        <v>0</v>
      </c>
      <c r="J151" s="48">
        <f>11872.58+33818.85</f>
        <v>45691.43</v>
      </c>
      <c r="K151" s="48">
        <f>I151+J151</f>
        <v>45691.43</v>
      </c>
      <c r="L151" s="48">
        <v>14054</v>
      </c>
      <c r="M151" s="48">
        <f>K151+L151</f>
        <v>59745.43</v>
      </c>
      <c r="N151" s="48"/>
      <c r="O151" s="48">
        <f>M151+N151</f>
        <v>59745.43</v>
      </c>
      <c r="P151" s="48"/>
      <c r="Q151" s="48">
        <f>O151+P151</f>
        <v>59745.43</v>
      </c>
      <c r="R151" s="48">
        <v>36259.57</v>
      </c>
      <c r="S151" s="48">
        <f>Q151+R151</f>
        <v>96005</v>
      </c>
      <c r="T151" s="48"/>
      <c r="U151" s="48">
        <f>S151+T151</f>
        <v>96005</v>
      </c>
      <c r="V151" s="48"/>
      <c r="W151" s="48">
        <f>U151+V151</f>
        <v>96005</v>
      </c>
      <c r="X151" s="48"/>
      <c r="Y151" s="48">
        <f>W151+X151</f>
        <v>96005</v>
      </c>
    </row>
    <row r="152" spans="1:26" x14ac:dyDescent="0.25">
      <c r="A152" s="15" t="s">
        <v>130</v>
      </c>
      <c r="B152" s="15">
        <v>225</v>
      </c>
      <c r="C152" s="48"/>
      <c r="D152" s="48"/>
      <c r="E152" s="48">
        <f t="shared" si="123"/>
        <v>0</v>
      </c>
      <c r="F152" s="48"/>
      <c r="G152" s="48">
        <f t="shared" si="124"/>
        <v>0</v>
      </c>
      <c r="H152" s="48"/>
      <c r="I152" s="48">
        <f>G152+H152</f>
        <v>0</v>
      </c>
      <c r="J152" s="48"/>
      <c r="K152" s="48">
        <f>I152+J152</f>
        <v>0</v>
      </c>
      <c r="L152" s="48"/>
      <c r="M152" s="48">
        <f>K152+L152</f>
        <v>0</v>
      </c>
      <c r="N152" s="48"/>
      <c r="O152" s="48">
        <f>M152+N152</f>
        <v>0</v>
      </c>
      <c r="P152" s="48">
        <v>10578.49</v>
      </c>
      <c r="Q152" s="48">
        <f>O152+P152</f>
        <v>10578.49</v>
      </c>
      <c r="R152" s="48"/>
      <c r="S152" s="48">
        <f>Q152+R152</f>
        <v>10578.49</v>
      </c>
      <c r="T152" s="48"/>
      <c r="U152" s="48">
        <f>S152+T152</f>
        <v>10578.49</v>
      </c>
      <c r="V152" s="48"/>
      <c r="W152" s="48">
        <f>U152+V152</f>
        <v>10578.49</v>
      </c>
      <c r="X152" s="48"/>
      <c r="Y152" s="48">
        <f>W152+X152</f>
        <v>10578.49</v>
      </c>
    </row>
    <row r="153" spans="1:26" x14ac:dyDescent="0.25">
      <c r="A153" s="15" t="s">
        <v>114</v>
      </c>
      <c r="B153" s="15">
        <v>225</v>
      </c>
      <c r="C153" s="48"/>
      <c r="D153" s="48"/>
      <c r="E153" s="48">
        <f t="shared" si="123"/>
        <v>0</v>
      </c>
      <c r="F153" s="48"/>
      <c r="G153" s="48">
        <f t="shared" si="124"/>
        <v>0</v>
      </c>
      <c r="H153" s="48">
        <f>3.03+43.99+77.37+197+333.75+1320.03+9342.33+1396+447.76+611+787.43+3396.76+4090.47</f>
        <v>22046.920000000002</v>
      </c>
      <c r="I153" s="48">
        <f>G153+H153</f>
        <v>22046.920000000002</v>
      </c>
      <c r="J153" s="48">
        <f>361.64+635.99+1620+2743.48+10850.44</f>
        <v>16211.550000000001</v>
      </c>
      <c r="K153" s="48">
        <f>I153+J153</f>
        <v>38258.47</v>
      </c>
      <c r="L153" s="48">
        <f>250+1666.21</f>
        <v>1916.21</v>
      </c>
      <c r="M153" s="48">
        <f>K153+L153</f>
        <v>40174.68</v>
      </c>
      <c r="N153" s="48"/>
      <c r="O153" s="48">
        <f>M153+N153</f>
        <v>40174.68</v>
      </c>
      <c r="P153" s="48"/>
      <c r="Q153" s="48">
        <f>O153+P153</f>
        <v>40174.68</v>
      </c>
      <c r="R153" s="48"/>
      <c r="S153" s="48">
        <f>Q153+R153</f>
        <v>40174.68</v>
      </c>
      <c r="T153" s="48"/>
      <c r="U153" s="48">
        <f>S153+T153</f>
        <v>40174.68</v>
      </c>
      <c r="V153" s="48"/>
      <c r="W153" s="48">
        <f>U153+V153</f>
        <v>40174.68</v>
      </c>
      <c r="X153" s="48"/>
      <c r="Y153" s="48">
        <f>W153+X153</f>
        <v>40174.68</v>
      </c>
    </row>
    <row r="154" spans="1:26" x14ac:dyDescent="0.25">
      <c r="A154" s="101" t="s">
        <v>56</v>
      </c>
      <c r="B154" s="102"/>
      <c r="C154" s="52">
        <f>C155</f>
        <v>0</v>
      </c>
      <c r="D154" s="52">
        <f t="shared" ref="D154:Y154" si="125">D155</f>
        <v>0</v>
      </c>
      <c r="E154" s="52">
        <f t="shared" si="125"/>
        <v>0</v>
      </c>
      <c r="F154" s="52">
        <f t="shared" si="125"/>
        <v>0</v>
      </c>
      <c r="G154" s="52">
        <f t="shared" si="125"/>
        <v>0</v>
      </c>
      <c r="H154" s="52">
        <f t="shared" si="125"/>
        <v>0</v>
      </c>
      <c r="I154" s="52">
        <f t="shared" si="125"/>
        <v>0</v>
      </c>
      <c r="J154" s="52">
        <f t="shared" si="125"/>
        <v>0</v>
      </c>
      <c r="K154" s="52">
        <f t="shared" si="125"/>
        <v>0</v>
      </c>
      <c r="L154" s="52">
        <f t="shared" si="125"/>
        <v>0</v>
      </c>
      <c r="M154" s="52">
        <f t="shared" si="125"/>
        <v>0</v>
      </c>
      <c r="N154" s="52">
        <f t="shared" si="125"/>
        <v>0</v>
      </c>
      <c r="O154" s="52">
        <f t="shared" si="125"/>
        <v>0</v>
      </c>
      <c r="P154" s="52">
        <f t="shared" si="125"/>
        <v>19782</v>
      </c>
      <c r="Q154" s="52">
        <f t="shared" si="125"/>
        <v>19782</v>
      </c>
      <c r="R154" s="52">
        <f t="shared" si="125"/>
        <v>0</v>
      </c>
      <c r="S154" s="52">
        <f t="shared" si="125"/>
        <v>19782</v>
      </c>
      <c r="T154" s="52">
        <f t="shared" si="125"/>
        <v>0</v>
      </c>
      <c r="U154" s="52">
        <f t="shared" si="125"/>
        <v>19782</v>
      </c>
      <c r="V154" s="52">
        <f t="shared" si="125"/>
        <v>0</v>
      </c>
      <c r="W154" s="52">
        <f t="shared" si="125"/>
        <v>19782</v>
      </c>
      <c r="X154" s="52">
        <f t="shared" si="125"/>
        <v>0</v>
      </c>
      <c r="Y154" s="52">
        <f t="shared" si="125"/>
        <v>19782</v>
      </c>
      <c r="Z154" s="1"/>
    </row>
    <row r="155" spans="1:26" x14ac:dyDescent="0.25">
      <c r="A155" s="15" t="s">
        <v>127</v>
      </c>
      <c r="B155" s="15">
        <v>226</v>
      </c>
      <c r="C155" s="48"/>
      <c r="D155" s="48"/>
      <c r="E155" s="48">
        <f>C155+D155</f>
        <v>0</v>
      </c>
      <c r="F155" s="48"/>
      <c r="G155" s="48">
        <f>E155+F155</f>
        <v>0</v>
      </c>
      <c r="H155" s="48"/>
      <c r="I155" s="48">
        <f>G155+H155</f>
        <v>0</v>
      </c>
      <c r="J155" s="48"/>
      <c r="K155" s="48">
        <f>I155+J155</f>
        <v>0</v>
      </c>
      <c r="L155" s="48"/>
      <c r="M155" s="48">
        <f>K155+L155</f>
        <v>0</v>
      </c>
      <c r="N155" s="48"/>
      <c r="O155" s="48">
        <f>M155+N155</f>
        <v>0</v>
      </c>
      <c r="P155" s="48">
        <v>19782</v>
      </c>
      <c r="Q155" s="48">
        <f>O155+P155</f>
        <v>19782</v>
      </c>
      <c r="R155" s="48"/>
      <c r="S155" s="48">
        <f>Q155+R155</f>
        <v>19782</v>
      </c>
      <c r="T155" s="48"/>
      <c r="U155" s="48">
        <f>S155+T155</f>
        <v>19782</v>
      </c>
      <c r="V155" s="48"/>
      <c r="W155" s="48">
        <f>U155+V155</f>
        <v>19782</v>
      </c>
      <c r="X155" s="48"/>
      <c r="Y155" s="48">
        <f>W155+X155</f>
        <v>19782</v>
      </c>
    </row>
    <row r="156" spans="1:26" x14ac:dyDescent="0.25">
      <c r="A156" s="101" t="s">
        <v>96</v>
      </c>
      <c r="B156" s="102"/>
      <c r="C156" s="52">
        <f>C157</f>
        <v>0</v>
      </c>
      <c r="D156" s="52">
        <f t="shared" ref="D156" si="126">D157</f>
        <v>0</v>
      </c>
      <c r="E156" s="52">
        <f t="shared" ref="E156" si="127">E157</f>
        <v>0</v>
      </c>
      <c r="F156" s="52">
        <f t="shared" ref="F156" si="128">F157</f>
        <v>0</v>
      </c>
      <c r="G156" s="52">
        <f t="shared" ref="G156" si="129">G157</f>
        <v>0</v>
      </c>
      <c r="H156" s="52">
        <f t="shared" ref="H156" si="130">H157</f>
        <v>0</v>
      </c>
      <c r="I156" s="52">
        <f t="shared" ref="I156" si="131">I157</f>
        <v>0</v>
      </c>
      <c r="J156" s="52">
        <f t="shared" ref="J156" si="132">J157</f>
        <v>0</v>
      </c>
      <c r="K156" s="52">
        <f t="shared" ref="K156" si="133">K157</f>
        <v>0</v>
      </c>
      <c r="L156" s="52">
        <f t="shared" ref="L156" si="134">L157</f>
        <v>0</v>
      </c>
      <c r="M156" s="52">
        <f t="shared" ref="M156" si="135">M157</f>
        <v>0</v>
      </c>
      <c r="N156" s="52">
        <f t="shared" ref="N156" si="136">N157</f>
        <v>0</v>
      </c>
      <c r="O156" s="52">
        <f t="shared" ref="O156" si="137">O157</f>
        <v>0</v>
      </c>
      <c r="P156" s="52">
        <f t="shared" ref="P156" si="138">P157</f>
        <v>79958</v>
      </c>
      <c r="Q156" s="52">
        <f t="shared" ref="Q156" si="139">Q157</f>
        <v>79958</v>
      </c>
      <c r="R156" s="52">
        <f t="shared" ref="R156" si="140">R157</f>
        <v>0</v>
      </c>
      <c r="S156" s="52">
        <f t="shared" ref="S156" si="141">S157</f>
        <v>79958</v>
      </c>
      <c r="T156" s="52">
        <f t="shared" ref="T156" si="142">T157</f>
        <v>0</v>
      </c>
      <c r="U156" s="52">
        <f t="shared" ref="U156" si="143">U157</f>
        <v>79958</v>
      </c>
      <c r="V156" s="52">
        <f t="shared" ref="V156" si="144">V157</f>
        <v>0</v>
      </c>
      <c r="W156" s="52">
        <f t="shared" ref="W156" si="145">W157</f>
        <v>79958</v>
      </c>
      <c r="X156" s="52">
        <f t="shared" ref="X156" si="146">X157</f>
        <v>0</v>
      </c>
      <c r="Y156" s="52">
        <f t="shared" ref="Y156" si="147">Y157</f>
        <v>79958</v>
      </c>
      <c r="Z156" s="1"/>
    </row>
    <row r="157" spans="1:26" x14ac:dyDescent="0.25">
      <c r="A157" s="15" t="s">
        <v>128</v>
      </c>
      <c r="B157" s="15">
        <v>310</v>
      </c>
      <c r="C157" s="48"/>
      <c r="D157" s="48"/>
      <c r="E157" s="48">
        <f>C157+D157</f>
        <v>0</v>
      </c>
      <c r="F157" s="48"/>
      <c r="G157" s="48">
        <f>E157+F157</f>
        <v>0</v>
      </c>
      <c r="H157" s="48"/>
      <c r="I157" s="48">
        <f>G157+H157</f>
        <v>0</v>
      </c>
      <c r="J157" s="48"/>
      <c r="K157" s="48">
        <f>I157+J157</f>
        <v>0</v>
      </c>
      <c r="L157" s="48"/>
      <c r="M157" s="48">
        <f>K157+L157</f>
        <v>0</v>
      </c>
      <c r="N157" s="48"/>
      <c r="O157" s="48">
        <f>M157+N157</f>
        <v>0</v>
      </c>
      <c r="P157" s="48">
        <v>79958</v>
      </c>
      <c r="Q157" s="48">
        <f>O157+P157</f>
        <v>79958</v>
      </c>
      <c r="R157" s="48"/>
      <c r="S157" s="48">
        <f>Q157+R157</f>
        <v>79958</v>
      </c>
      <c r="T157" s="48"/>
      <c r="U157" s="48">
        <f>S157+T157</f>
        <v>79958</v>
      </c>
      <c r="V157" s="48"/>
      <c r="W157" s="48">
        <f>U157+V157</f>
        <v>79958</v>
      </c>
      <c r="X157" s="48"/>
      <c r="Y157" s="48">
        <f>W157+X157</f>
        <v>79958</v>
      </c>
    </row>
    <row r="158" spans="1:26" x14ac:dyDescent="0.25">
      <c r="A158" s="101" t="s">
        <v>57</v>
      </c>
      <c r="B158" s="102"/>
      <c r="C158" s="52">
        <f>C159</f>
        <v>0</v>
      </c>
      <c r="D158" s="52">
        <f t="shared" ref="D158:Y158" si="148">D159</f>
        <v>0</v>
      </c>
      <c r="E158" s="52">
        <f t="shared" si="148"/>
        <v>0</v>
      </c>
      <c r="F158" s="52">
        <f t="shared" si="148"/>
        <v>0</v>
      </c>
      <c r="G158" s="52">
        <f t="shared" si="148"/>
        <v>0</v>
      </c>
      <c r="H158" s="52">
        <f t="shared" si="148"/>
        <v>0</v>
      </c>
      <c r="I158" s="52">
        <f t="shared" si="148"/>
        <v>0</v>
      </c>
      <c r="J158" s="52">
        <f t="shared" si="148"/>
        <v>0</v>
      </c>
      <c r="K158" s="52">
        <f t="shared" si="148"/>
        <v>0</v>
      </c>
      <c r="L158" s="52">
        <f t="shared" si="148"/>
        <v>0</v>
      </c>
      <c r="M158" s="52">
        <f t="shared" si="148"/>
        <v>0</v>
      </c>
      <c r="N158" s="52">
        <f t="shared" si="148"/>
        <v>3972</v>
      </c>
      <c r="O158" s="52">
        <f t="shared" si="148"/>
        <v>3972</v>
      </c>
      <c r="P158" s="52">
        <f t="shared" si="148"/>
        <v>0</v>
      </c>
      <c r="Q158" s="52">
        <f t="shared" si="148"/>
        <v>3972</v>
      </c>
      <c r="R158" s="52">
        <f t="shared" si="148"/>
        <v>0</v>
      </c>
      <c r="S158" s="52">
        <f t="shared" si="148"/>
        <v>3972</v>
      </c>
      <c r="T158" s="52">
        <f t="shared" si="148"/>
        <v>0</v>
      </c>
      <c r="U158" s="52">
        <f t="shared" si="148"/>
        <v>3972</v>
      </c>
      <c r="V158" s="52">
        <f t="shared" si="148"/>
        <v>0</v>
      </c>
      <c r="W158" s="52">
        <f t="shared" si="148"/>
        <v>3972</v>
      </c>
      <c r="X158" s="52">
        <f t="shared" si="148"/>
        <v>0</v>
      </c>
      <c r="Y158" s="52">
        <f t="shared" si="148"/>
        <v>3972</v>
      </c>
    </row>
    <row r="159" spans="1:26" x14ac:dyDescent="0.25">
      <c r="A159" s="15" t="s">
        <v>120</v>
      </c>
      <c r="B159" s="15">
        <v>340</v>
      </c>
      <c r="C159" s="48"/>
      <c r="D159" s="48"/>
      <c r="E159" s="48">
        <f>C159+D159</f>
        <v>0</v>
      </c>
      <c r="F159" s="48"/>
      <c r="G159" s="48">
        <f>E159+F159</f>
        <v>0</v>
      </c>
      <c r="H159" s="48"/>
      <c r="I159" s="48">
        <f>G159+H159</f>
        <v>0</v>
      </c>
      <c r="J159" s="48"/>
      <c r="K159" s="48">
        <f>I159+J159</f>
        <v>0</v>
      </c>
      <c r="L159" s="48"/>
      <c r="M159" s="48">
        <f>K159+L159</f>
        <v>0</v>
      </c>
      <c r="N159" s="48">
        <v>3972</v>
      </c>
      <c r="O159" s="48">
        <f>M159+N159</f>
        <v>3972</v>
      </c>
      <c r="P159" s="48"/>
      <c r="Q159" s="48">
        <f>O159+P159</f>
        <v>3972</v>
      </c>
      <c r="R159" s="48"/>
      <c r="S159" s="48">
        <f>Q159+R159</f>
        <v>3972</v>
      </c>
      <c r="T159" s="48"/>
      <c r="U159" s="48">
        <f>S159+T159</f>
        <v>3972</v>
      </c>
      <c r="V159" s="48"/>
      <c r="W159" s="48">
        <f>U159+V159</f>
        <v>3972</v>
      </c>
      <c r="X159" s="48"/>
      <c r="Y159" s="48">
        <f>W159+X159</f>
        <v>3972</v>
      </c>
    </row>
    <row r="160" spans="1:26" x14ac:dyDescent="0.25">
      <c r="A160" s="73" t="s">
        <v>16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5"/>
    </row>
    <row r="161" spans="1:26" x14ac:dyDescent="0.25">
      <c r="A161" s="73" t="s">
        <v>113</v>
      </c>
      <c r="B161" s="75"/>
      <c r="C161" s="52">
        <f t="shared" ref="C161:Y161" si="149">SUM(C162:C162)</f>
        <v>0</v>
      </c>
      <c r="D161" s="52">
        <f t="shared" si="149"/>
        <v>0</v>
      </c>
      <c r="E161" s="52">
        <f t="shared" si="149"/>
        <v>0</v>
      </c>
      <c r="F161" s="52">
        <f t="shared" si="149"/>
        <v>0</v>
      </c>
      <c r="G161" s="52">
        <f t="shared" si="149"/>
        <v>0</v>
      </c>
      <c r="H161" s="52">
        <f t="shared" si="149"/>
        <v>0</v>
      </c>
      <c r="I161" s="52">
        <f t="shared" si="149"/>
        <v>0</v>
      </c>
      <c r="J161" s="52">
        <f t="shared" si="149"/>
        <v>0</v>
      </c>
      <c r="K161" s="52">
        <f t="shared" si="149"/>
        <v>0</v>
      </c>
      <c r="L161" s="52">
        <f t="shared" si="149"/>
        <v>5141.8500000000004</v>
      </c>
      <c r="M161" s="52">
        <f t="shared" si="149"/>
        <v>5141.8500000000004</v>
      </c>
      <c r="N161" s="52">
        <f t="shared" si="149"/>
        <v>4038.87</v>
      </c>
      <c r="O161" s="52">
        <f t="shared" si="149"/>
        <v>9180.7200000000012</v>
      </c>
      <c r="P161" s="52">
        <f t="shared" si="149"/>
        <v>7169.52</v>
      </c>
      <c r="Q161" s="52">
        <f t="shared" si="149"/>
        <v>16350.240000000002</v>
      </c>
      <c r="R161" s="52">
        <f t="shared" si="149"/>
        <v>0</v>
      </c>
      <c r="S161" s="52">
        <f t="shared" si="149"/>
        <v>16350.240000000002</v>
      </c>
      <c r="T161" s="52">
        <f t="shared" si="149"/>
        <v>0</v>
      </c>
      <c r="U161" s="52">
        <f t="shared" si="149"/>
        <v>16350.240000000002</v>
      </c>
      <c r="V161" s="52">
        <f t="shared" si="149"/>
        <v>0</v>
      </c>
      <c r="W161" s="52">
        <f t="shared" si="149"/>
        <v>16350.240000000002</v>
      </c>
      <c r="X161" s="52">
        <f t="shared" si="149"/>
        <v>0</v>
      </c>
      <c r="Y161" s="52">
        <f t="shared" si="149"/>
        <v>16350.240000000002</v>
      </c>
      <c r="Z161" s="1"/>
    </row>
    <row r="162" spans="1:26" x14ac:dyDescent="0.25">
      <c r="A162" s="15" t="s">
        <v>114</v>
      </c>
      <c r="B162" s="15">
        <v>225</v>
      </c>
      <c r="C162" s="48"/>
      <c r="D162" s="48"/>
      <c r="E162" s="48">
        <f>C162+D162</f>
        <v>0</v>
      </c>
      <c r="F162" s="48"/>
      <c r="G162" s="48">
        <f>E162+F162</f>
        <v>0</v>
      </c>
      <c r="H162" s="48"/>
      <c r="I162" s="48">
        <f>G162+H162</f>
        <v>0</v>
      </c>
      <c r="J162" s="48"/>
      <c r="K162" s="48">
        <f>I162+J162</f>
        <v>0</v>
      </c>
      <c r="L162" s="48">
        <f>157.45+276.89+458+1194.45+3055.06</f>
        <v>5141.8500000000004</v>
      </c>
      <c r="M162" s="48">
        <f>K162+L162</f>
        <v>5141.8500000000004</v>
      </c>
      <c r="N162" s="48">
        <f>90.1+158.45+404+683.5+2702.82</f>
        <v>4038.87</v>
      </c>
      <c r="O162" s="48">
        <f>M162+N162</f>
        <v>9180.7200000000012</v>
      </c>
      <c r="P162" s="48">
        <f>28.06+159.31+280.16+714+1208.56+4779.43</f>
        <v>7169.52</v>
      </c>
      <c r="Q162" s="48">
        <f>O162+P162</f>
        <v>16350.240000000002</v>
      </c>
      <c r="R162" s="48"/>
      <c r="S162" s="48">
        <f>Q162+R162</f>
        <v>16350.240000000002</v>
      </c>
      <c r="T162" s="48"/>
      <c r="U162" s="48">
        <f>S162+T162</f>
        <v>16350.240000000002</v>
      </c>
      <c r="V162" s="48"/>
      <c r="W162" s="48">
        <f>U162+V162</f>
        <v>16350.240000000002</v>
      </c>
      <c r="X162" s="48"/>
      <c r="Y162" s="48">
        <f>W162+X162</f>
        <v>16350.240000000002</v>
      </c>
    </row>
    <row r="163" spans="1:26" x14ac:dyDescent="0.25">
      <c r="A163" s="57" t="s">
        <v>16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8"/>
    </row>
    <row r="164" spans="1:26" x14ac:dyDescent="0.25">
      <c r="A164" s="57" t="s">
        <v>77</v>
      </c>
      <c r="B164" s="58"/>
      <c r="C164" s="53">
        <f>SUM(C165:C165)</f>
        <v>0</v>
      </c>
      <c r="D164" s="53">
        <f>SUM(D165:D165)</f>
        <v>0</v>
      </c>
      <c r="E164" s="53">
        <f>C164+D164</f>
        <v>0</v>
      </c>
      <c r="F164" s="53">
        <f>SUM(F165:F165)</f>
        <v>24877.14</v>
      </c>
      <c r="G164" s="53">
        <f>E164+F164</f>
        <v>24877.14</v>
      </c>
      <c r="H164" s="53">
        <f>SUM(H165:H165)</f>
        <v>0</v>
      </c>
      <c r="I164" s="53">
        <f>G164+H164</f>
        <v>24877.14</v>
      </c>
      <c r="J164" s="53">
        <f>SUM(J165:J165)</f>
        <v>0</v>
      </c>
      <c r="K164" s="53">
        <f>I164+J164</f>
        <v>24877.14</v>
      </c>
      <c r="L164" s="53">
        <f>SUM(L165:L165)</f>
        <v>24460.480000000003</v>
      </c>
      <c r="M164" s="53">
        <f>K164+L164</f>
        <v>49337.62</v>
      </c>
      <c r="N164" s="53">
        <f>SUM(N165:N165)</f>
        <v>0</v>
      </c>
      <c r="O164" s="53">
        <f>M164+N164</f>
        <v>49337.62</v>
      </c>
      <c r="P164" s="53">
        <f>SUM(P165:P165)</f>
        <v>0</v>
      </c>
      <c r="Q164" s="53">
        <f>O164+P164</f>
        <v>49337.62</v>
      </c>
      <c r="R164" s="53">
        <f>SUM(R165:R165)</f>
        <v>0</v>
      </c>
      <c r="S164" s="53">
        <f>Q164+R164</f>
        <v>49337.62</v>
      </c>
      <c r="T164" s="53">
        <f>SUM(T165:T165)</f>
        <v>0</v>
      </c>
      <c r="U164" s="53">
        <f>S164+T164</f>
        <v>49337.62</v>
      </c>
      <c r="V164" s="53">
        <f>SUM(V165:V165)</f>
        <v>0</v>
      </c>
      <c r="W164" s="53">
        <f>U164+V164</f>
        <v>49337.62</v>
      </c>
      <c r="X164" s="53">
        <f>SUM(X165:X165)</f>
        <v>0</v>
      </c>
      <c r="Y164" s="53">
        <f>SUM(Y165:Y165)</f>
        <v>49337.62</v>
      </c>
      <c r="Z164" s="1"/>
    </row>
    <row r="165" spans="1:26" x14ac:dyDescent="0.25">
      <c r="A165" s="15" t="s">
        <v>76</v>
      </c>
      <c r="B165" s="15">
        <v>225</v>
      </c>
      <c r="C165" s="48"/>
      <c r="D165" s="48"/>
      <c r="E165" s="48">
        <f>C165+D165</f>
        <v>0</v>
      </c>
      <c r="F165" s="48">
        <v>24877.14</v>
      </c>
      <c r="G165" s="48">
        <f>E165+F165</f>
        <v>24877.14</v>
      </c>
      <c r="H165" s="48"/>
      <c r="I165" s="48">
        <f>G165+H165</f>
        <v>24877.14</v>
      </c>
      <c r="J165" s="48"/>
      <c r="K165" s="48">
        <f>I165+J165</f>
        <v>24877.14</v>
      </c>
      <c r="L165" s="48">
        <f>20383.72+4076.76</f>
        <v>24460.480000000003</v>
      </c>
      <c r="M165" s="48">
        <f>K165+L165</f>
        <v>49337.62</v>
      </c>
      <c r="N165" s="48"/>
      <c r="O165" s="48">
        <f>M165+N165</f>
        <v>49337.62</v>
      </c>
      <c r="P165" s="48"/>
      <c r="Q165" s="48">
        <f>O165+P165</f>
        <v>49337.62</v>
      </c>
      <c r="R165" s="48"/>
      <c r="S165" s="48">
        <f>Q165+R165</f>
        <v>49337.62</v>
      </c>
      <c r="T165" s="48"/>
      <c r="U165" s="48">
        <f>S165+T165</f>
        <v>49337.62</v>
      </c>
      <c r="V165" s="48"/>
      <c r="W165" s="48">
        <f>U165+V165</f>
        <v>49337.62</v>
      </c>
      <c r="X165" s="48"/>
      <c r="Y165" s="48">
        <f>W165+X165</f>
        <v>49337.62</v>
      </c>
    </row>
    <row r="166" spans="1:26" x14ac:dyDescent="0.25">
      <c r="A166" s="92" t="s">
        <v>16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4"/>
    </row>
    <row r="167" spans="1:26" x14ac:dyDescent="0.25">
      <c r="A167" s="92" t="s">
        <v>66</v>
      </c>
      <c r="B167" s="94"/>
      <c r="C167" s="108">
        <f>SUM(C168:C168)</f>
        <v>0</v>
      </c>
      <c r="D167" s="108">
        <f>SUM(D168:D168)</f>
        <v>0</v>
      </c>
      <c r="E167" s="108">
        <f>C167+D167</f>
        <v>0</v>
      </c>
      <c r="F167" s="108">
        <f>SUM(F168:F168)</f>
        <v>29406</v>
      </c>
      <c r="G167" s="108">
        <f>E167+F167</f>
        <v>29406</v>
      </c>
      <c r="H167" s="108">
        <f>SUM(H168:H168)</f>
        <v>68614</v>
      </c>
      <c r="I167" s="108">
        <f>G167+H167</f>
        <v>98020</v>
      </c>
      <c r="J167" s="108">
        <f>SUM(J168:J168)</f>
        <v>0</v>
      </c>
      <c r="K167" s="108">
        <f>I167+J167</f>
        <v>98020</v>
      </c>
      <c r="L167" s="108">
        <f>SUM(L168:L168)</f>
        <v>0</v>
      </c>
      <c r="M167" s="108">
        <f>K167+L167</f>
        <v>98020</v>
      </c>
      <c r="N167" s="108">
        <f>SUM(N168:N168)</f>
        <v>22050</v>
      </c>
      <c r="O167" s="108">
        <f>M167+N167</f>
        <v>120070</v>
      </c>
      <c r="P167" s="108">
        <f>SUM(P168:P168)</f>
        <v>0</v>
      </c>
      <c r="Q167" s="108">
        <f>O167+P167</f>
        <v>120070</v>
      </c>
      <c r="R167" s="108">
        <f>SUM(R168:R168)</f>
        <v>51450</v>
      </c>
      <c r="S167" s="108">
        <f>Q167+R167</f>
        <v>171520</v>
      </c>
      <c r="T167" s="108">
        <f>SUM(T168:T168)</f>
        <v>0</v>
      </c>
      <c r="U167" s="108">
        <f>S167+T167</f>
        <v>171520</v>
      </c>
      <c r="V167" s="108">
        <f>SUM(V168:V168)</f>
        <v>0</v>
      </c>
      <c r="W167" s="108">
        <f>U167+V167</f>
        <v>171520</v>
      </c>
      <c r="X167" s="108">
        <f>SUM(X168:X168)</f>
        <v>0</v>
      </c>
      <c r="Y167" s="108">
        <f>SUM(Y168:Y168)</f>
        <v>171520</v>
      </c>
      <c r="Z167" s="1"/>
    </row>
    <row r="168" spans="1:26" x14ac:dyDescent="0.25">
      <c r="A168" s="15" t="s">
        <v>141</v>
      </c>
      <c r="B168" s="15">
        <v>340</v>
      </c>
      <c r="C168" s="48"/>
      <c r="D168" s="48"/>
      <c r="E168" s="48">
        <f>C168+D168</f>
        <v>0</v>
      </c>
      <c r="F168" s="48">
        <v>29406</v>
      </c>
      <c r="G168" s="48">
        <f>E168+F168</f>
        <v>29406</v>
      </c>
      <c r="H168" s="48">
        <f>68614</f>
        <v>68614</v>
      </c>
      <c r="I168" s="48">
        <f>G168+H168</f>
        <v>98020</v>
      </c>
      <c r="J168" s="48"/>
      <c r="K168" s="48">
        <f>I168+J168</f>
        <v>98020</v>
      </c>
      <c r="L168" s="48"/>
      <c r="M168" s="48">
        <f>K168+L168</f>
        <v>98020</v>
      </c>
      <c r="N168" s="48">
        <v>22050</v>
      </c>
      <c r="O168" s="48">
        <f>M168+N168</f>
        <v>120070</v>
      </c>
      <c r="P168" s="48"/>
      <c r="Q168" s="48">
        <f>O168+P168</f>
        <v>120070</v>
      </c>
      <c r="R168" s="48">
        <v>51450</v>
      </c>
      <c r="S168" s="48">
        <f>Q168+R168</f>
        <v>171520</v>
      </c>
      <c r="T168" s="48"/>
      <c r="U168" s="48">
        <f>S168+T168</f>
        <v>171520</v>
      </c>
      <c r="V168" s="48"/>
      <c r="W168" s="48">
        <f>U168+V168</f>
        <v>171520</v>
      </c>
      <c r="X168" s="48"/>
      <c r="Y168" s="48">
        <f>W168+X168</f>
        <v>171520</v>
      </c>
    </row>
    <row r="169" spans="1:26" x14ac:dyDescent="0.25">
      <c r="A169" s="57" t="s">
        <v>16</v>
      </c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8"/>
    </row>
    <row r="170" spans="1:26" x14ac:dyDescent="0.25">
      <c r="A170" s="57" t="s">
        <v>118</v>
      </c>
      <c r="B170" s="58"/>
      <c r="C170" s="53">
        <f>SUM(C171:C171)</f>
        <v>0</v>
      </c>
      <c r="D170" s="53">
        <f>SUM(D171:D171)</f>
        <v>0</v>
      </c>
      <c r="E170" s="53">
        <f>C170+D170</f>
        <v>0</v>
      </c>
      <c r="F170" s="53">
        <f>SUM(F171:F171)</f>
        <v>0</v>
      </c>
      <c r="G170" s="53">
        <f>E170+F170</f>
        <v>0</v>
      </c>
      <c r="H170" s="53">
        <f>SUM(H171:H171)</f>
        <v>0</v>
      </c>
      <c r="I170" s="53">
        <f>G170+H170</f>
        <v>0</v>
      </c>
      <c r="J170" s="53">
        <f>SUM(J171:J171)</f>
        <v>0</v>
      </c>
      <c r="K170" s="53">
        <f>I170+J170</f>
        <v>0</v>
      </c>
      <c r="L170" s="53">
        <f>SUM(L171:L171)</f>
        <v>87280</v>
      </c>
      <c r="M170" s="53">
        <f>K170+L170</f>
        <v>87280</v>
      </c>
      <c r="N170" s="53">
        <f>SUM(N171:N171)</f>
        <v>0</v>
      </c>
      <c r="O170" s="53">
        <f>M170+N170</f>
        <v>87280</v>
      </c>
      <c r="P170" s="53">
        <f>SUM(P171:P171)</f>
        <v>0</v>
      </c>
      <c r="Q170" s="53">
        <f>O170+P170</f>
        <v>87280</v>
      </c>
      <c r="R170" s="53">
        <f>SUM(R171:R171)</f>
        <v>43640</v>
      </c>
      <c r="S170" s="53">
        <f>Q170+R170</f>
        <v>130920</v>
      </c>
      <c r="T170" s="53">
        <f>SUM(T171:T171)</f>
        <v>0</v>
      </c>
      <c r="U170" s="53">
        <f>S170+T170</f>
        <v>130920</v>
      </c>
      <c r="V170" s="53">
        <f>SUM(V171:V171)</f>
        <v>0</v>
      </c>
      <c r="W170" s="53">
        <f>U170+V170</f>
        <v>130920</v>
      </c>
      <c r="X170" s="53">
        <f>SUM(X171:X171)</f>
        <v>0</v>
      </c>
      <c r="Y170" s="53">
        <f>SUM(Y171:Y171)</f>
        <v>130920</v>
      </c>
      <c r="Z170" s="1"/>
    </row>
    <row r="171" spans="1:26" x14ac:dyDescent="0.25">
      <c r="A171" s="15" t="s">
        <v>117</v>
      </c>
      <c r="B171" s="15">
        <v>241</v>
      </c>
      <c r="C171" s="48"/>
      <c r="D171" s="48"/>
      <c r="E171" s="48">
        <f>C171+D171</f>
        <v>0</v>
      </c>
      <c r="F171" s="48"/>
      <c r="G171" s="48">
        <f>E171+F171</f>
        <v>0</v>
      </c>
      <c r="H171" s="48"/>
      <c r="I171" s="48">
        <f>G171+H171</f>
        <v>0</v>
      </c>
      <c r="J171" s="48"/>
      <c r="K171" s="48">
        <f>I171+J171</f>
        <v>0</v>
      </c>
      <c r="L171" s="48">
        <v>87280</v>
      </c>
      <c r="M171" s="48">
        <f>K171+L171</f>
        <v>87280</v>
      </c>
      <c r="N171" s="48"/>
      <c r="O171" s="48">
        <f>M171+N171</f>
        <v>87280</v>
      </c>
      <c r="P171" s="48"/>
      <c r="Q171" s="48">
        <f>O171+P171</f>
        <v>87280</v>
      </c>
      <c r="R171" s="48">
        <v>43640</v>
      </c>
      <c r="S171" s="48">
        <f>Q171+R171</f>
        <v>130920</v>
      </c>
      <c r="T171" s="48"/>
      <c r="U171" s="48">
        <f>S171+T171</f>
        <v>130920</v>
      </c>
      <c r="V171" s="48"/>
      <c r="W171" s="48">
        <f>U171+V171</f>
        <v>130920</v>
      </c>
      <c r="X171" s="48"/>
      <c r="Y171" s="48">
        <f>W171+X171</f>
        <v>130920</v>
      </c>
    </row>
    <row r="172" spans="1:26" x14ac:dyDescent="0.25">
      <c r="A172" s="68" t="s">
        <v>16</v>
      </c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70"/>
    </row>
    <row r="173" spans="1:26" x14ac:dyDescent="0.25">
      <c r="A173" s="27" t="s">
        <v>33</v>
      </c>
      <c r="B173" s="28">
        <v>241</v>
      </c>
      <c r="C173" s="107">
        <v>1000000</v>
      </c>
      <c r="D173" s="107">
        <v>500000</v>
      </c>
      <c r="E173" s="107">
        <f>C173+D173</f>
        <v>1500000</v>
      </c>
      <c r="F173" s="107">
        <v>1188600</v>
      </c>
      <c r="G173" s="107">
        <f>E173+F173</f>
        <v>2688600</v>
      </c>
      <c r="H173" s="107">
        <v>1000000</v>
      </c>
      <c r="I173" s="107">
        <f>G173+H173</f>
        <v>3688600</v>
      </c>
      <c r="J173" s="107">
        <v>1000000</v>
      </c>
      <c r="K173" s="107">
        <f>I173+J173</f>
        <v>4688600</v>
      </c>
      <c r="L173" s="107">
        <v>816560</v>
      </c>
      <c r="M173" s="107">
        <f>K173+L173</f>
        <v>5505160</v>
      </c>
      <c r="N173" s="107">
        <v>1000000</v>
      </c>
      <c r="O173" s="107">
        <f>M173+N173</f>
        <v>6505160</v>
      </c>
      <c r="P173" s="107">
        <f>610000+200000</f>
        <v>810000</v>
      </c>
      <c r="Q173" s="107">
        <f>O173+P173</f>
        <v>7315160</v>
      </c>
      <c r="R173" s="107">
        <f>150000+222000+50000+230000</f>
        <v>652000</v>
      </c>
      <c r="S173" s="107">
        <f>Q173+R173</f>
        <v>7967160</v>
      </c>
      <c r="T173" s="107">
        <v>0</v>
      </c>
      <c r="U173" s="107">
        <f>S173+T173</f>
        <v>7967160</v>
      </c>
      <c r="V173" s="107">
        <v>0</v>
      </c>
      <c r="W173" s="107">
        <f>U173+V173</f>
        <v>7967160</v>
      </c>
      <c r="X173" s="107">
        <v>0</v>
      </c>
      <c r="Y173" s="107">
        <f>W173+X173</f>
        <v>7967160</v>
      </c>
      <c r="Z173" s="1"/>
    </row>
    <row r="174" spans="1:26" x14ac:dyDescent="0.25">
      <c r="A174" s="57" t="s">
        <v>16</v>
      </c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8"/>
      <c r="Z174" s="113"/>
    </row>
    <row r="175" spans="1:26" x14ac:dyDescent="0.25">
      <c r="A175" s="57" t="s">
        <v>71</v>
      </c>
      <c r="B175" s="58"/>
      <c r="C175" s="53">
        <f>SUM(C176:C176)</f>
        <v>0</v>
      </c>
      <c r="D175" s="53">
        <f>SUM(D176:D176)</f>
        <v>0</v>
      </c>
      <c r="E175" s="53">
        <f>C175+D175</f>
        <v>0</v>
      </c>
      <c r="F175" s="53">
        <f>SUM(F176:F176)</f>
        <v>1000</v>
      </c>
      <c r="G175" s="53">
        <f>E175+F175</f>
        <v>1000</v>
      </c>
      <c r="H175" s="53">
        <f>SUM(H176:H176)</f>
        <v>0</v>
      </c>
      <c r="I175" s="53">
        <f>G175+H175</f>
        <v>1000</v>
      </c>
      <c r="J175" s="53">
        <f>SUM(J176:J176)</f>
        <v>1000</v>
      </c>
      <c r="K175" s="53">
        <f>I175+J175</f>
        <v>2000</v>
      </c>
      <c r="L175" s="53">
        <f>SUM(L176:L176)</f>
        <v>0</v>
      </c>
      <c r="M175" s="53">
        <f>K175+L175</f>
        <v>2000</v>
      </c>
      <c r="N175" s="53">
        <f>SUM(N176:N176)</f>
        <v>1000</v>
      </c>
      <c r="O175" s="53">
        <f>M175+N175</f>
        <v>3000</v>
      </c>
      <c r="P175" s="53">
        <f>SUM(P176:P176)</f>
        <v>0</v>
      </c>
      <c r="Q175" s="53">
        <f>O175+P175</f>
        <v>3000</v>
      </c>
      <c r="R175" s="53">
        <f>SUM(R176:R176)</f>
        <v>0</v>
      </c>
      <c r="S175" s="53">
        <f>Q175+R175</f>
        <v>3000</v>
      </c>
      <c r="T175" s="53">
        <f>SUM(T176:T176)</f>
        <v>0</v>
      </c>
      <c r="U175" s="53">
        <f>S175+T175</f>
        <v>3000</v>
      </c>
      <c r="V175" s="53">
        <f>SUM(V176:V176)</f>
        <v>0</v>
      </c>
      <c r="W175" s="53">
        <f>U175+V175</f>
        <v>3000</v>
      </c>
      <c r="X175" s="53">
        <f>SUM(X176:X176)</f>
        <v>0</v>
      </c>
      <c r="Y175" s="53">
        <f>SUM(Y176:Y176)</f>
        <v>3000</v>
      </c>
      <c r="Z175" s="1"/>
    </row>
    <row r="176" spans="1:26" x14ac:dyDescent="0.25">
      <c r="A176" s="15" t="s">
        <v>140</v>
      </c>
      <c r="B176" s="15">
        <v>221</v>
      </c>
      <c r="C176" s="48"/>
      <c r="D176" s="48"/>
      <c r="E176" s="48">
        <f>C176+D176</f>
        <v>0</v>
      </c>
      <c r="F176" s="48">
        <v>1000</v>
      </c>
      <c r="G176" s="48">
        <f>E176+F176</f>
        <v>1000</v>
      </c>
      <c r="H176" s="48"/>
      <c r="I176" s="48">
        <f>G176+H176</f>
        <v>1000</v>
      </c>
      <c r="J176" s="48">
        <v>1000</v>
      </c>
      <c r="K176" s="48">
        <f>I176+J176</f>
        <v>2000</v>
      </c>
      <c r="L176" s="48"/>
      <c r="M176" s="48">
        <f>K176+L176</f>
        <v>2000</v>
      </c>
      <c r="N176" s="48">
        <v>1000</v>
      </c>
      <c r="O176" s="48">
        <f>M176+N176</f>
        <v>3000</v>
      </c>
      <c r="P176" s="48"/>
      <c r="Q176" s="48">
        <f>O176+P176</f>
        <v>3000</v>
      </c>
      <c r="R176" s="48"/>
      <c r="S176" s="48">
        <f>Q176+R176</f>
        <v>3000</v>
      </c>
      <c r="T176" s="48"/>
      <c r="U176" s="48">
        <f>S176+T176</f>
        <v>3000</v>
      </c>
      <c r="V176" s="48"/>
      <c r="W176" s="48">
        <f>U176+V176</f>
        <v>3000</v>
      </c>
      <c r="X176" s="48"/>
      <c r="Y176" s="48">
        <f>W176+X176</f>
        <v>3000</v>
      </c>
    </row>
    <row r="177" spans="1:26" x14ac:dyDescent="0.25">
      <c r="A177" s="57" t="s">
        <v>16</v>
      </c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8"/>
    </row>
    <row r="178" spans="1:26" x14ac:dyDescent="0.25">
      <c r="A178" s="57" t="s">
        <v>81</v>
      </c>
      <c r="B178" s="58"/>
      <c r="C178" s="53">
        <f>SUM(C179:C179)</f>
        <v>0</v>
      </c>
      <c r="D178" s="53">
        <f>SUM(D179:D179)</f>
        <v>0</v>
      </c>
      <c r="E178" s="53">
        <f>C178+D178</f>
        <v>0</v>
      </c>
      <c r="F178" s="53">
        <f>SUM(F179:F179)</f>
        <v>0</v>
      </c>
      <c r="G178" s="53">
        <f>E178+F178</f>
        <v>0</v>
      </c>
      <c r="H178" s="53">
        <f>SUM(H179:H179)</f>
        <v>20000</v>
      </c>
      <c r="I178" s="53">
        <f>G178+H178</f>
        <v>20000</v>
      </c>
      <c r="J178" s="53">
        <f>SUM(J179:J179)</f>
        <v>5516</v>
      </c>
      <c r="K178" s="53">
        <f>I178+J178</f>
        <v>25516</v>
      </c>
      <c r="L178" s="53">
        <f>SUM(L179:L179)</f>
        <v>3500</v>
      </c>
      <c r="M178" s="53">
        <f>K178+L178</f>
        <v>29016</v>
      </c>
      <c r="N178" s="53">
        <f>SUM(N179:N179)</f>
        <v>15000</v>
      </c>
      <c r="O178" s="53">
        <f>M178+N178</f>
        <v>44016</v>
      </c>
      <c r="P178" s="53">
        <f>SUM(P179:P179)</f>
        <v>14989</v>
      </c>
      <c r="Q178" s="53">
        <f>O178+P178</f>
        <v>59005</v>
      </c>
      <c r="R178" s="53">
        <f>SUM(R179:R179)</f>
        <v>0</v>
      </c>
      <c r="S178" s="53">
        <f>Q178+R178</f>
        <v>59005</v>
      </c>
      <c r="T178" s="53">
        <f>SUM(T179:T179)</f>
        <v>0</v>
      </c>
      <c r="U178" s="53">
        <f>S178+T178</f>
        <v>59005</v>
      </c>
      <c r="V178" s="53">
        <f>SUM(V179:V179)</f>
        <v>0</v>
      </c>
      <c r="W178" s="53">
        <f>U178+V178</f>
        <v>59005</v>
      </c>
      <c r="X178" s="53">
        <f>SUM(X179:X179)</f>
        <v>0</v>
      </c>
      <c r="Y178" s="53">
        <f>SUM(Y179:Y179)</f>
        <v>59005</v>
      </c>
      <c r="Z178" s="1"/>
    </row>
    <row r="179" spans="1:26" x14ac:dyDescent="0.25">
      <c r="A179" s="15" t="s">
        <v>80</v>
      </c>
      <c r="B179" s="15">
        <v>290</v>
      </c>
      <c r="C179" s="48"/>
      <c r="D179" s="48"/>
      <c r="E179" s="48">
        <f>C179+D179</f>
        <v>0</v>
      </c>
      <c r="F179" s="48"/>
      <c r="G179" s="48">
        <f>E179+F179</f>
        <v>0</v>
      </c>
      <c r="H179" s="48">
        <v>20000</v>
      </c>
      <c r="I179" s="48">
        <f>G179+H179</f>
        <v>20000</v>
      </c>
      <c r="J179" s="48">
        <f>1966+3550</f>
        <v>5516</v>
      </c>
      <c r="K179" s="48">
        <f>I179+J179</f>
        <v>25516</v>
      </c>
      <c r="L179" s="48">
        <v>3500</v>
      </c>
      <c r="M179" s="48">
        <f>K179+L179</f>
        <v>29016</v>
      </c>
      <c r="N179" s="48">
        <v>15000</v>
      </c>
      <c r="O179" s="48">
        <f>M179+N179</f>
        <v>44016</v>
      </c>
      <c r="P179" s="48">
        <f>2000+2989+10000</f>
        <v>14989</v>
      </c>
      <c r="Q179" s="48">
        <f>O179+P179</f>
        <v>59005</v>
      </c>
      <c r="R179" s="48"/>
      <c r="S179" s="48">
        <f>Q179+R179</f>
        <v>59005</v>
      </c>
      <c r="T179" s="48"/>
      <c r="U179" s="48">
        <f>S179+T179</f>
        <v>59005</v>
      </c>
      <c r="V179" s="48"/>
      <c r="W179" s="48">
        <f>U179+V179</f>
        <v>59005</v>
      </c>
      <c r="X179" s="48"/>
      <c r="Y179" s="48">
        <f>W179+X179</f>
        <v>59005</v>
      </c>
    </row>
    <row r="180" spans="1:26" x14ac:dyDescent="0.25">
      <c r="A180" s="78" t="s">
        <v>16</v>
      </c>
      <c r="B180" s="122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4"/>
    </row>
    <row r="181" spans="1:26" x14ac:dyDescent="0.25">
      <c r="A181" s="133" t="s">
        <v>135</v>
      </c>
      <c r="B181" s="134"/>
      <c r="C181" s="54">
        <f>C182</f>
        <v>0</v>
      </c>
      <c r="D181" s="54">
        <f t="shared" ref="D181:Y181" si="150">D182</f>
        <v>0</v>
      </c>
      <c r="E181" s="54">
        <f t="shared" si="150"/>
        <v>0</v>
      </c>
      <c r="F181" s="54">
        <f t="shared" si="150"/>
        <v>0</v>
      </c>
      <c r="G181" s="54">
        <f t="shared" si="150"/>
        <v>0</v>
      </c>
      <c r="H181" s="54">
        <f t="shared" si="150"/>
        <v>0</v>
      </c>
      <c r="I181" s="54">
        <f t="shared" si="150"/>
        <v>0</v>
      </c>
      <c r="J181" s="54">
        <f t="shared" si="150"/>
        <v>0</v>
      </c>
      <c r="K181" s="54">
        <f t="shared" si="150"/>
        <v>0</v>
      </c>
      <c r="L181" s="54">
        <f t="shared" si="150"/>
        <v>0</v>
      </c>
      <c r="M181" s="54">
        <f t="shared" si="150"/>
        <v>0</v>
      </c>
      <c r="N181" s="54">
        <f t="shared" si="150"/>
        <v>0</v>
      </c>
      <c r="O181" s="54">
        <f t="shared" si="150"/>
        <v>0</v>
      </c>
      <c r="P181" s="54">
        <f t="shared" si="150"/>
        <v>0</v>
      </c>
      <c r="Q181" s="54">
        <f t="shared" si="150"/>
        <v>0</v>
      </c>
      <c r="R181" s="54">
        <f t="shared" si="150"/>
        <v>300000</v>
      </c>
      <c r="S181" s="54">
        <f t="shared" si="150"/>
        <v>300000</v>
      </c>
      <c r="T181" s="54">
        <f t="shared" si="150"/>
        <v>0</v>
      </c>
      <c r="U181" s="54">
        <f t="shared" si="150"/>
        <v>300000</v>
      </c>
      <c r="V181" s="54">
        <f t="shared" si="150"/>
        <v>0</v>
      </c>
      <c r="W181" s="54">
        <f t="shared" si="150"/>
        <v>300000</v>
      </c>
      <c r="X181" s="54">
        <f t="shared" si="150"/>
        <v>0</v>
      </c>
      <c r="Y181" s="54">
        <f t="shared" si="150"/>
        <v>300000</v>
      </c>
    </row>
    <row r="182" spans="1:26" x14ac:dyDescent="0.25">
      <c r="A182" s="15" t="s">
        <v>138</v>
      </c>
      <c r="B182" s="15">
        <v>241</v>
      </c>
      <c r="C182" s="48"/>
      <c r="D182" s="48"/>
      <c r="E182" s="48">
        <f>C182+D182</f>
        <v>0</v>
      </c>
      <c r="F182" s="48"/>
      <c r="G182" s="48">
        <f>E182+F182</f>
        <v>0</v>
      </c>
      <c r="H182" s="48"/>
      <c r="I182" s="48">
        <f>G182+H182</f>
        <v>0</v>
      </c>
      <c r="J182" s="48"/>
      <c r="K182" s="48">
        <f>I182+J182</f>
        <v>0</v>
      </c>
      <c r="L182" s="48"/>
      <c r="M182" s="48">
        <f>K182+L182</f>
        <v>0</v>
      </c>
      <c r="N182" s="48"/>
      <c r="O182" s="48">
        <f>M182+N182</f>
        <v>0</v>
      </c>
      <c r="P182" s="48"/>
      <c r="Q182" s="48">
        <f>O182+P182</f>
        <v>0</v>
      </c>
      <c r="R182" s="48">
        <v>300000</v>
      </c>
      <c r="S182" s="48">
        <f>Q182+R182</f>
        <v>300000</v>
      </c>
      <c r="T182" s="48"/>
      <c r="U182" s="48">
        <f>S182+T182</f>
        <v>300000</v>
      </c>
      <c r="V182" s="48"/>
      <c r="W182" s="48">
        <f>U182+V182</f>
        <v>300000</v>
      </c>
      <c r="X182" s="48"/>
      <c r="Y182" s="48">
        <f>W182+X182</f>
        <v>300000</v>
      </c>
    </row>
    <row r="183" spans="1:26" x14ac:dyDescent="0.25">
      <c r="A183" s="60" t="s">
        <v>16</v>
      </c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6"/>
    </row>
    <row r="184" spans="1:26" x14ac:dyDescent="0.25">
      <c r="A184" s="117" t="s">
        <v>132</v>
      </c>
      <c r="B184" s="114"/>
      <c r="C184" s="49">
        <f>C185</f>
        <v>0</v>
      </c>
      <c r="D184" s="49">
        <f t="shared" ref="D184:Y184" si="151">D185</f>
        <v>0</v>
      </c>
      <c r="E184" s="49">
        <f t="shared" si="151"/>
        <v>0</v>
      </c>
      <c r="F184" s="49">
        <f t="shared" si="151"/>
        <v>0</v>
      </c>
      <c r="G184" s="49">
        <f t="shared" si="151"/>
        <v>0</v>
      </c>
      <c r="H184" s="49">
        <f t="shared" si="151"/>
        <v>0</v>
      </c>
      <c r="I184" s="49">
        <f t="shared" si="151"/>
        <v>0</v>
      </c>
      <c r="J184" s="49">
        <f t="shared" si="151"/>
        <v>0</v>
      </c>
      <c r="K184" s="49">
        <f t="shared" si="151"/>
        <v>0</v>
      </c>
      <c r="L184" s="49">
        <f t="shared" si="151"/>
        <v>0</v>
      </c>
      <c r="M184" s="49">
        <f t="shared" si="151"/>
        <v>0</v>
      </c>
      <c r="N184" s="49">
        <f t="shared" si="151"/>
        <v>0</v>
      </c>
      <c r="O184" s="49">
        <f t="shared" si="151"/>
        <v>0</v>
      </c>
      <c r="P184" s="49">
        <f t="shared" si="151"/>
        <v>0</v>
      </c>
      <c r="Q184" s="49">
        <f t="shared" si="151"/>
        <v>0</v>
      </c>
      <c r="R184" s="49">
        <f t="shared" si="151"/>
        <v>3030</v>
      </c>
      <c r="S184" s="49">
        <f t="shared" si="151"/>
        <v>3030</v>
      </c>
      <c r="T184" s="49">
        <f t="shared" si="151"/>
        <v>0</v>
      </c>
      <c r="U184" s="49">
        <f t="shared" si="151"/>
        <v>3030</v>
      </c>
      <c r="V184" s="49">
        <f t="shared" si="151"/>
        <v>0</v>
      </c>
      <c r="W184" s="49">
        <f t="shared" si="151"/>
        <v>3030</v>
      </c>
      <c r="X184" s="49">
        <f t="shared" si="151"/>
        <v>0</v>
      </c>
      <c r="Y184" s="49">
        <f t="shared" si="151"/>
        <v>3030</v>
      </c>
    </row>
    <row r="185" spans="1:26" x14ac:dyDescent="0.25">
      <c r="A185" s="26" t="s">
        <v>139</v>
      </c>
      <c r="B185" s="15">
        <v>241</v>
      </c>
      <c r="C185" s="48"/>
      <c r="D185" s="48"/>
      <c r="E185" s="48">
        <f>C185+D185</f>
        <v>0</v>
      </c>
      <c r="F185" s="48"/>
      <c r="G185" s="48">
        <f>E185+F185</f>
        <v>0</v>
      </c>
      <c r="H185" s="48"/>
      <c r="I185" s="48">
        <f>G185+H185</f>
        <v>0</v>
      </c>
      <c r="J185" s="48"/>
      <c r="K185" s="48">
        <f>I185+J185</f>
        <v>0</v>
      </c>
      <c r="L185" s="48"/>
      <c r="M185" s="48">
        <f>K185+L185</f>
        <v>0</v>
      </c>
      <c r="N185" s="48"/>
      <c r="O185" s="48">
        <f>M185+N185</f>
        <v>0</v>
      </c>
      <c r="P185" s="48"/>
      <c r="Q185" s="48">
        <f>O185+P185</f>
        <v>0</v>
      </c>
      <c r="R185" s="48">
        <v>3030</v>
      </c>
      <c r="S185" s="48">
        <f>Q185+R185</f>
        <v>3030</v>
      </c>
      <c r="T185" s="112"/>
      <c r="U185" s="48">
        <f>S185+T185</f>
        <v>3030</v>
      </c>
      <c r="V185" s="112"/>
      <c r="W185" s="48">
        <f>U185+V185</f>
        <v>3030</v>
      </c>
      <c r="X185" s="112"/>
      <c r="Y185" s="48">
        <f>W185+X185</f>
        <v>3030</v>
      </c>
    </row>
    <row r="186" spans="1:26" x14ac:dyDescent="0.25">
      <c r="A186" s="57" t="s">
        <v>16</v>
      </c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8"/>
    </row>
    <row r="187" spans="1:26" x14ac:dyDescent="0.25">
      <c r="A187" s="57" t="s">
        <v>103</v>
      </c>
      <c r="B187" s="58"/>
      <c r="C187" s="53">
        <f>C188+C189</f>
        <v>0</v>
      </c>
      <c r="D187" s="53">
        <f t="shared" ref="D187:Y187" si="152">D188+D189</f>
        <v>0</v>
      </c>
      <c r="E187" s="53">
        <f t="shared" si="152"/>
        <v>0</v>
      </c>
      <c r="F187" s="53">
        <f t="shared" si="152"/>
        <v>0</v>
      </c>
      <c r="G187" s="53">
        <f t="shared" si="152"/>
        <v>0</v>
      </c>
      <c r="H187" s="53">
        <f t="shared" si="152"/>
        <v>0</v>
      </c>
      <c r="I187" s="53">
        <f t="shared" si="152"/>
        <v>0</v>
      </c>
      <c r="J187" s="53">
        <f t="shared" si="152"/>
        <v>20000</v>
      </c>
      <c r="K187" s="53">
        <f t="shared" si="152"/>
        <v>20000</v>
      </c>
      <c r="L187" s="53">
        <f t="shared" si="152"/>
        <v>0</v>
      </c>
      <c r="M187" s="53">
        <f t="shared" si="152"/>
        <v>20000</v>
      </c>
      <c r="N187" s="53">
        <f t="shared" si="152"/>
        <v>0</v>
      </c>
      <c r="O187" s="53">
        <f t="shared" si="152"/>
        <v>20000</v>
      </c>
      <c r="P187" s="53">
        <f t="shared" si="152"/>
        <v>0</v>
      </c>
      <c r="Q187" s="53">
        <f t="shared" si="152"/>
        <v>20000</v>
      </c>
      <c r="R187" s="53">
        <f t="shared" si="152"/>
        <v>9286</v>
      </c>
      <c r="S187" s="53">
        <f t="shared" si="152"/>
        <v>29286</v>
      </c>
      <c r="T187" s="53">
        <f t="shared" si="152"/>
        <v>0</v>
      </c>
      <c r="U187" s="53">
        <f t="shared" si="152"/>
        <v>29286</v>
      </c>
      <c r="V187" s="53">
        <f t="shared" si="152"/>
        <v>0</v>
      </c>
      <c r="W187" s="53">
        <f t="shared" si="152"/>
        <v>29286</v>
      </c>
      <c r="X187" s="53">
        <f t="shared" si="152"/>
        <v>0</v>
      </c>
      <c r="Y187" s="53">
        <f t="shared" si="152"/>
        <v>29286</v>
      </c>
      <c r="Z187" s="1"/>
    </row>
    <row r="188" spans="1:26" s="4" customFormat="1" x14ac:dyDescent="0.25">
      <c r="A188" s="39" t="s">
        <v>102</v>
      </c>
      <c r="B188" s="38">
        <v>226</v>
      </c>
      <c r="C188" s="51"/>
      <c r="D188" s="51"/>
      <c r="E188" s="51">
        <f>C188+D188</f>
        <v>0</v>
      </c>
      <c r="F188" s="51"/>
      <c r="G188" s="51">
        <f>E188+F188</f>
        <v>0</v>
      </c>
      <c r="H188" s="51"/>
      <c r="I188" s="51">
        <f>G188+H188</f>
        <v>0</v>
      </c>
      <c r="J188" s="51">
        <v>9599</v>
      </c>
      <c r="K188" s="51">
        <f>I188+J188</f>
        <v>9599</v>
      </c>
      <c r="L188" s="51"/>
      <c r="M188" s="51">
        <f>K188+L188</f>
        <v>9599</v>
      </c>
      <c r="N188" s="51"/>
      <c r="O188" s="51">
        <f>M188+N188</f>
        <v>9599</v>
      </c>
      <c r="P188" s="51"/>
      <c r="Q188" s="51">
        <f>O188+P188</f>
        <v>9599</v>
      </c>
      <c r="R188" s="51"/>
      <c r="S188" s="51">
        <f>Q188+R188</f>
        <v>9599</v>
      </c>
      <c r="T188" s="51"/>
      <c r="U188" s="51">
        <f>S188+T188</f>
        <v>9599</v>
      </c>
      <c r="V188" s="51"/>
      <c r="W188" s="51">
        <f>U188+V188</f>
        <v>9599</v>
      </c>
      <c r="X188" s="51"/>
      <c r="Y188" s="51">
        <f>W188+X188</f>
        <v>9599</v>
      </c>
      <c r="Z188" s="3"/>
    </row>
    <row r="189" spans="1:26" x14ac:dyDescent="0.25">
      <c r="A189" s="15" t="s">
        <v>148</v>
      </c>
      <c r="B189" s="15">
        <v>226</v>
      </c>
      <c r="C189" s="48"/>
      <c r="D189" s="48"/>
      <c r="E189" s="48">
        <f>C189+D189</f>
        <v>0</v>
      </c>
      <c r="F189" s="48"/>
      <c r="G189" s="48">
        <f>E189+F189</f>
        <v>0</v>
      </c>
      <c r="H189" s="48"/>
      <c r="I189" s="48">
        <f>G189+H189</f>
        <v>0</v>
      </c>
      <c r="J189" s="48">
        <v>10401</v>
      </c>
      <c r="K189" s="48">
        <f>I189+J189</f>
        <v>10401</v>
      </c>
      <c r="L189" s="48"/>
      <c r="M189" s="48">
        <f>K189+L189</f>
        <v>10401</v>
      </c>
      <c r="N189" s="48"/>
      <c r="O189" s="48">
        <f>M189+N189</f>
        <v>10401</v>
      </c>
      <c r="P189" s="48"/>
      <c r="Q189" s="48">
        <f>O189+P189</f>
        <v>10401</v>
      </c>
      <c r="R189" s="48">
        <v>9286</v>
      </c>
      <c r="S189" s="48">
        <f>Q189+R189</f>
        <v>19687</v>
      </c>
      <c r="T189" s="48"/>
      <c r="U189" s="48">
        <f>S189+T189</f>
        <v>19687</v>
      </c>
      <c r="V189" s="48"/>
      <c r="W189" s="48">
        <f>U189+V189</f>
        <v>19687</v>
      </c>
      <c r="X189" s="48"/>
      <c r="Y189" s="48">
        <f>W189+X189</f>
        <v>19687</v>
      </c>
    </row>
    <row r="190" spans="1:26" x14ac:dyDescent="0.25">
      <c r="A190" s="78" t="s">
        <v>16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80"/>
    </row>
    <row r="191" spans="1:26" x14ac:dyDescent="0.25">
      <c r="A191" s="78" t="s">
        <v>46</v>
      </c>
      <c r="B191" s="80"/>
      <c r="C191" s="54">
        <f>SUM(C192:C198)</f>
        <v>0</v>
      </c>
      <c r="D191" s="54">
        <f t="shared" ref="D191:Y191" si="153">SUM(D192:D198)</f>
        <v>15000</v>
      </c>
      <c r="E191" s="54">
        <f t="shared" si="153"/>
        <v>15000</v>
      </c>
      <c r="F191" s="54">
        <f t="shared" si="153"/>
        <v>0</v>
      </c>
      <c r="G191" s="54">
        <f t="shared" si="153"/>
        <v>15000</v>
      </c>
      <c r="H191" s="54">
        <f t="shared" si="153"/>
        <v>27000</v>
      </c>
      <c r="I191" s="54">
        <f t="shared" si="153"/>
        <v>42000</v>
      </c>
      <c r="J191" s="54">
        <f t="shared" si="153"/>
        <v>0</v>
      </c>
      <c r="K191" s="54">
        <f t="shared" si="153"/>
        <v>42000</v>
      </c>
      <c r="L191" s="54">
        <f t="shared" si="153"/>
        <v>0</v>
      </c>
      <c r="M191" s="54">
        <f t="shared" si="153"/>
        <v>42000</v>
      </c>
      <c r="N191" s="54">
        <f t="shared" si="153"/>
        <v>0</v>
      </c>
      <c r="O191" s="54">
        <f t="shared" si="153"/>
        <v>42000</v>
      </c>
      <c r="P191" s="54">
        <f t="shared" si="153"/>
        <v>0</v>
      </c>
      <c r="Q191" s="54">
        <f t="shared" si="153"/>
        <v>42000</v>
      </c>
      <c r="R191" s="54">
        <f t="shared" si="153"/>
        <v>15000</v>
      </c>
      <c r="S191" s="54">
        <f t="shared" si="153"/>
        <v>57000</v>
      </c>
      <c r="T191" s="54">
        <f t="shared" si="153"/>
        <v>0</v>
      </c>
      <c r="U191" s="54">
        <f t="shared" si="153"/>
        <v>57000</v>
      </c>
      <c r="V191" s="54">
        <f t="shared" si="153"/>
        <v>0</v>
      </c>
      <c r="W191" s="54">
        <f t="shared" si="153"/>
        <v>57000</v>
      </c>
      <c r="X191" s="54">
        <f t="shared" si="153"/>
        <v>0</v>
      </c>
      <c r="Y191" s="54">
        <f t="shared" si="153"/>
        <v>57000</v>
      </c>
      <c r="Z191" s="1"/>
    </row>
    <row r="192" spans="1:26" x14ac:dyDescent="0.25">
      <c r="A192" s="15" t="s">
        <v>51</v>
      </c>
      <c r="B192" s="15">
        <v>290</v>
      </c>
      <c r="C192" s="48"/>
      <c r="D192" s="48">
        <v>7000</v>
      </c>
      <c r="E192" s="48">
        <f>C192+D192</f>
        <v>7000</v>
      </c>
      <c r="F192" s="48"/>
      <c r="G192" s="48">
        <f>E192+F192</f>
        <v>7000</v>
      </c>
      <c r="H192" s="48"/>
      <c r="I192" s="48">
        <f>G192+H192</f>
        <v>7000</v>
      </c>
      <c r="J192" s="48"/>
      <c r="K192" s="48">
        <f>I192+J192</f>
        <v>7000</v>
      </c>
      <c r="L192" s="48"/>
      <c r="M192" s="48">
        <f>K192+L192</f>
        <v>7000</v>
      </c>
      <c r="N192" s="48"/>
      <c r="O192" s="48">
        <f>M192+N192</f>
        <v>7000</v>
      </c>
      <c r="P192" s="48"/>
      <c r="Q192" s="48">
        <f>O192+P192</f>
        <v>7000</v>
      </c>
      <c r="R192" s="48"/>
      <c r="S192" s="48">
        <f>Q192+R192</f>
        <v>7000</v>
      </c>
      <c r="T192" s="48"/>
      <c r="U192" s="48">
        <f>S192+T192</f>
        <v>7000</v>
      </c>
      <c r="V192" s="48"/>
      <c r="W192" s="48">
        <f>U192+V192</f>
        <v>7000</v>
      </c>
      <c r="X192" s="48"/>
      <c r="Y192" s="48">
        <f>W192+X192</f>
        <v>7000</v>
      </c>
    </row>
    <row r="193" spans="1:25" x14ac:dyDescent="0.25">
      <c r="A193" s="15" t="s">
        <v>53</v>
      </c>
      <c r="B193" s="15">
        <v>290</v>
      </c>
      <c r="C193" s="48"/>
      <c r="D193" s="48">
        <v>4000</v>
      </c>
      <c r="E193" s="48">
        <f t="shared" ref="E193:E198" si="154">C193+D193</f>
        <v>4000</v>
      </c>
      <c r="F193" s="48"/>
      <c r="G193" s="48">
        <f t="shared" ref="G193:G198" si="155">E193+F193</f>
        <v>4000</v>
      </c>
      <c r="H193" s="48"/>
      <c r="I193" s="48">
        <f t="shared" ref="I193:I198" si="156">G193+H193</f>
        <v>4000</v>
      </c>
      <c r="J193" s="48"/>
      <c r="K193" s="48">
        <f t="shared" ref="K193:K194" si="157">I193+J193</f>
        <v>4000</v>
      </c>
      <c r="L193" s="48"/>
      <c r="M193" s="48">
        <f t="shared" ref="M193:M198" si="158">K193+L193</f>
        <v>4000</v>
      </c>
      <c r="N193" s="48"/>
      <c r="O193" s="48">
        <f t="shared" ref="O193:O198" si="159">M193+N193</f>
        <v>4000</v>
      </c>
      <c r="P193" s="48"/>
      <c r="Q193" s="48">
        <f t="shared" ref="Q193:Q198" si="160">O193+P193</f>
        <v>4000</v>
      </c>
      <c r="R193" s="48"/>
      <c r="S193" s="48">
        <f t="shared" ref="S193:S198" si="161">Q193+R193</f>
        <v>4000</v>
      </c>
      <c r="T193" s="48"/>
      <c r="U193" s="48">
        <f t="shared" ref="U193:U198" si="162">S193+T193</f>
        <v>4000</v>
      </c>
      <c r="V193" s="48"/>
      <c r="W193" s="48">
        <f t="shared" ref="W193:W198" si="163">U193+V193</f>
        <v>4000</v>
      </c>
      <c r="X193" s="48"/>
      <c r="Y193" s="48">
        <f t="shared" ref="Y193:Y198" si="164">W193+X193</f>
        <v>4000</v>
      </c>
    </row>
    <row r="194" spans="1:25" x14ac:dyDescent="0.25">
      <c r="A194" s="15" t="s">
        <v>52</v>
      </c>
      <c r="B194" s="15">
        <v>290</v>
      </c>
      <c r="C194" s="48"/>
      <c r="D194" s="48">
        <v>4000</v>
      </c>
      <c r="E194" s="48">
        <f t="shared" si="154"/>
        <v>4000</v>
      </c>
      <c r="F194" s="48"/>
      <c r="G194" s="48">
        <f t="shared" si="155"/>
        <v>4000</v>
      </c>
      <c r="H194" s="48"/>
      <c r="I194" s="48">
        <f t="shared" si="156"/>
        <v>4000</v>
      </c>
      <c r="J194" s="48"/>
      <c r="K194" s="48">
        <f t="shared" si="157"/>
        <v>4000</v>
      </c>
      <c r="L194" s="48"/>
      <c r="M194" s="48">
        <f t="shared" si="158"/>
        <v>4000</v>
      </c>
      <c r="N194" s="48"/>
      <c r="O194" s="48">
        <f t="shared" si="159"/>
        <v>4000</v>
      </c>
      <c r="P194" s="48"/>
      <c r="Q194" s="48">
        <f t="shared" si="160"/>
        <v>4000</v>
      </c>
      <c r="R194" s="48"/>
      <c r="S194" s="48">
        <f t="shared" si="161"/>
        <v>4000</v>
      </c>
      <c r="T194" s="48"/>
      <c r="U194" s="48">
        <f t="shared" si="162"/>
        <v>4000</v>
      </c>
      <c r="V194" s="48"/>
      <c r="W194" s="48">
        <f t="shared" si="163"/>
        <v>4000</v>
      </c>
      <c r="X194" s="48"/>
      <c r="Y194" s="48">
        <f t="shared" si="164"/>
        <v>4000</v>
      </c>
    </row>
    <row r="195" spans="1:25" x14ac:dyDescent="0.25">
      <c r="A195" s="15" t="s">
        <v>92</v>
      </c>
      <c r="B195" s="15">
        <v>290</v>
      </c>
      <c r="C195" s="48"/>
      <c r="D195" s="48"/>
      <c r="E195" s="48">
        <f t="shared" si="154"/>
        <v>0</v>
      </c>
      <c r="F195" s="48"/>
      <c r="G195" s="48">
        <f t="shared" si="155"/>
        <v>0</v>
      </c>
      <c r="H195" s="48">
        <v>4000</v>
      </c>
      <c r="I195" s="48">
        <f t="shared" si="156"/>
        <v>4000</v>
      </c>
      <c r="J195" s="48"/>
      <c r="K195" s="48">
        <f>I195</f>
        <v>4000</v>
      </c>
      <c r="L195" s="48"/>
      <c r="M195" s="48">
        <f t="shared" si="158"/>
        <v>4000</v>
      </c>
      <c r="N195" s="48"/>
      <c r="O195" s="48">
        <f t="shared" si="159"/>
        <v>4000</v>
      </c>
      <c r="P195" s="48"/>
      <c r="Q195" s="48">
        <f t="shared" si="160"/>
        <v>4000</v>
      </c>
      <c r="R195" s="48"/>
      <c r="S195" s="48">
        <f t="shared" si="161"/>
        <v>4000</v>
      </c>
      <c r="T195" s="48"/>
      <c r="U195" s="48">
        <f t="shared" si="162"/>
        <v>4000</v>
      </c>
      <c r="V195" s="48"/>
      <c r="W195" s="48">
        <f t="shared" si="163"/>
        <v>4000</v>
      </c>
      <c r="X195" s="48"/>
      <c r="Y195" s="48">
        <f t="shared" si="164"/>
        <v>4000</v>
      </c>
    </row>
    <row r="196" spans="1:25" x14ac:dyDescent="0.25">
      <c r="A196" s="15" t="s">
        <v>93</v>
      </c>
      <c r="B196" s="15">
        <v>290</v>
      </c>
      <c r="C196" s="48"/>
      <c r="D196" s="48"/>
      <c r="E196" s="48">
        <f t="shared" si="154"/>
        <v>0</v>
      </c>
      <c r="F196" s="48"/>
      <c r="G196" s="48">
        <f t="shared" si="155"/>
        <v>0</v>
      </c>
      <c r="H196" s="48">
        <v>15000</v>
      </c>
      <c r="I196" s="48">
        <f t="shared" si="156"/>
        <v>15000</v>
      </c>
      <c r="J196" s="48"/>
      <c r="K196" s="48">
        <f t="shared" ref="K196:K198" si="165">I196</f>
        <v>15000</v>
      </c>
      <c r="L196" s="48"/>
      <c r="M196" s="48">
        <f t="shared" si="158"/>
        <v>15000</v>
      </c>
      <c r="N196" s="48"/>
      <c r="O196" s="48">
        <f t="shared" si="159"/>
        <v>15000</v>
      </c>
      <c r="P196" s="48"/>
      <c r="Q196" s="48">
        <f t="shared" si="160"/>
        <v>15000</v>
      </c>
      <c r="R196" s="48"/>
      <c r="S196" s="48">
        <f t="shared" si="161"/>
        <v>15000</v>
      </c>
      <c r="T196" s="48"/>
      <c r="U196" s="48">
        <f t="shared" si="162"/>
        <v>15000</v>
      </c>
      <c r="V196" s="48"/>
      <c r="W196" s="48">
        <f t="shared" si="163"/>
        <v>15000</v>
      </c>
      <c r="X196" s="48"/>
      <c r="Y196" s="48">
        <f t="shared" si="164"/>
        <v>15000</v>
      </c>
    </row>
    <row r="197" spans="1:25" x14ac:dyDescent="0.25">
      <c r="A197" s="15" t="s">
        <v>133</v>
      </c>
      <c r="B197" s="15">
        <v>290</v>
      </c>
      <c r="C197" s="48"/>
      <c r="D197" s="48"/>
      <c r="E197" s="48">
        <f t="shared" si="154"/>
        <v>0</v>
      </c>
      <c r="F197" s="48"/>
      <c r="G197" s="48">
        <f t="shared" si="155"/>
        <v>0</v>
      </c>
      <c r="H197" s="48"/>
      <c r="I197" s="48">
        <f t="shared" si="156"/>
        <v>0</v>
      </c>
      <c r="J197" s="48"/>
      <c r="K197" s="48">
        <f t="shared" si="165"/>
        <v>0</v>
      </c>
      <c r="L197" s="48"/>
      <c r="M197" s="48">
        <f t="shared" si="158"/>
        <v>0</v>
      </c>
      <c r="N197" s="48"/>
      <c r="O197" s="48">
        <f t="shared" si="159"/>
        <v>0</v>
      </c>
      <c r="P197" s="48"/>
      <c r="Q197" s="48">
        <f t="shared" si="160"/>
        <v>0</v>
      </c>
      <c r="R197" s="48">
        <v>15000</v>
      </c>
      <c r="S197" s="48">
        <f t="shared" si="161"/>
        <v>15000</v>
      </c>
      <c r="T197" s="48"/>
      <c r="U197" s="48">
        <f t="shared" si="162"/>
        <v>15000</v>
      </c>
      <c r="V197" s="48"/>
      <c r="W197" s="48">
        <f t="shared" si="163"/>
        <v>15000</v>
      </c>
      <c r="X197" s="48"/>
      <c r="Y197" s="48">
        <f t="shared" si="164"/>
        <v>15000</v>
      </c>
    </row>
    <row r="198" spans="1:25" x14ac:dyDescent="0.25">
      <c r="A198" s="15" t="s">
        <v>94</v>
      </c>
      <c r="B198" s="15">
        <v>290</v>
      </c>
      <c r="C198" s="48"/>
      <c r="D198" s="48"/>
      <c r="E198" s="48">
        <f t="shared" si="154"/>
        <v>0</v>
      </c>
      <c r="F198" s="48"/>
      <c r="G198" s="48">
        <f t="shared" si="155"/>
        <v>0</v>
      </c>
      <c r="H198" s="48">
        <v>8000</v>
      </c>
      <c r="I198" s="48">
        <f t="shared" si="156"/>
        <v>8000</v>
      </c>
      <c r="J198" s="48"/>
      <c r="K198" s="48">
        <f t="shared" si="165"/>
        <v>8000</v>
      </c>
      <c r="L198" s="48"/>
      <c r="M198" s="48">
        <f t="shared" si="158"/>
        <v>8000</v>
      </c>
      <c r="N198" s="48"/>
      <c r="O198" s="48">
        <f t="shared" si="159"/>
        <v>8000</v>
      </c>
      <c r="P198" s="48"/>
      <c r="Q198" s="48">
        <f t="shared" si="160"/>
        <v>8000</v>
      </c>
      <c r="R198" s="48"/>
      <c r="S198" s="48">
        <f t="shared" si="161"/>
        <v>8000</v>
      </c>
      <c r="T198" s="48"/>
      <c r="U198" s="48">
        <f t="shared" si="162"/>
        <v>8000</v>
      </c>
      <c r="V198" s="48"/>
      <c r="W198" s="48">
        <f t="shared" si="163"/>
        <v>8000</v>
      </c>
      <c r="X198" s="48"/>
      <c r="Y198" s="48">
        <f t="shared" si="164"/>
        <v>8000</v>
      </c>
    </row>
    <row r="199" spans="1:25" x14ac:dyDescent="0.25">
      <c r="A199" s="43" t="s">
        <v>34</v>
      </c>
      <c r="B199" s="43"/>
      <c r="C199" s="44">
        <f t="shared" ref="C199:Y199" si="166">D207+C191+C178+C175+C173+C167+C164+C145+C138+C135+C132+C130+C125+C121+C110+C94+C90+C87+C81+C78+C74+C30+C26+C22+C18+C15+C11+C8+C4+C66+C141+C56+C106+C187+C70+C114+C161+C170+C84+C181+C184</f>
        <v>1200015.02</v>
      </c>
      <c r="D199" s="44">
        <f t="shared" si="166"/>
        <v>1175304.21</v>
      </c>
      <c r="E199" s="44">
        <f t="shared" si="166"/>
        <v>2375319.2299999995</v>
      </c>
      <c r="F199" s="44">
        <f t="shared" si="166"/>
        <v>1770466.07</v>
      </c>
      <c r="G199" s="44">
        <f t="shared" si="166"/>
        <v>4145785.2999999993</v>
      </c>
      <c r="H199" s="44">
        <f t="shared" si="166"/>
        <v>1777554.5799999998</v>
      </c>
      <c r="I199" s="44">
        <f t="shared" si="166"/>
        <v>5923339.879999999</v>
      </c>
      <c r="J199" s="44">
        <f t="shared" si="166"/>
        <v>1560471.34</v>
      </c>
      <c r="K199" s="44">
        <f t="shared" si="166"/>
        <v>7483811.2199999988</v>
      </c>
      <c r="L199" s="44">
        <f t="shared" si="166"/>
        <v>1562631.4900000002</v>
      </c>
      <c r="M199" s="44">
        <f t="shared" si="166"/>
        <v>9046442.7100000009</v>
      </c>
      <c r="N199" s="44">
        <f t="shared" si="166"/>
        <v>1612523.3700000003</v>
      </c>
      <c r="O199" s="44">
        <f t="shared" si="166"/>
        <v>10658966.080000004</v>
      </c>
      <c r="P199" s="44">
        <f t="shared" si="166"/>
        <v>2497940.1100000003</v>
      </c>
      <c r="Q199" s="44">
        <f t="shared" si="166"/>
        <v>13156906.189999999</v>
      </c>
      <c r="R199" s="44">
        <f t="shared" si="166"/>
        <v>1648246.8800000001</v>
      </c>
      <c r="S199" s="44">
        <f t="shared" si="166"/>
        <v>14805153.069999998</v>
      </c>
      <c r="T199" s="44">
        <f t="shared" si="166"/>
        <v>0</v>
      </c>
      <c r="U199" s="44">
        <f t="shared" si="166"/>
        <v>14805153.069999998</v>
      </c>
      <c r="V199" s="44">
        <f t="shared" si="166"/>
        <v>0</v>
      </c>
      <c r="W199" s="44">
        <f t="shared" si="166"/>
        <v>14805153.069999998</v>
      </c>
      <c r="X199" s="44">
        <f t="shared" si="166"/>
        <v>0</v>
      </c>
      <c r="Y199" s="44">
        <f t="shared" si="166"/>
        <v>14805153.069999998</v>
      </c>
    </row>
    <row r="200" spans="1:25" x14ac:dyDescent="0.25">
      <c r="G200" s="1"/>
      <c r="T200" s="1"/>
      <c r="U200" s="1"/>
      <c r="V200" s="1"/>
      <c r="Y200" s="1"/>
    </row>
    <row r="201" spans="1:25" ht="18.75" x14ac:dyDescent="0.3">
      <c r="A201" s="136" t="s">
        <v>149</v>
      </c>
      <c r="B201" s="137"/>
      <c r="C201" s="137">
        <v>1200015.02</v>
      </c>
      <c r="D201" s="137">
        <v>1175304.21</v>
      </c>
      <c r="E201" s="137">
        <f>C201+D201</f>
        <v>2375319.23</v>
      </c>
      <c r="F201" s="137">
        <v>1770466.07</v>
      </c>
      <c r="G201" s="137">
        <f>E201+F201</f>
        <v>4145785.3</v>
      </c>
      <c r="H201" s="138">
        <v>1777554.58</v>
      </c>
      <c r="I201" s="139">
        <f>G201+H201</f>
        <v>5923339.8799999999</v>
      </c>
      <c r="J201" s="137">
        <v>1560471.34</v>
      </c>
      <c r="K201" s="139">
        <f>I201+J201</f>
        <v>7483811.2199999997</v>
      </c>
      <c r="L201" s="137">
        <v>1562631.49</v>
      </c>
      <c r="M201" s="139"/>
      <c r="N201" s="137"/>
      <c r="O201" s="139"/>
      <c r="P201" s="139" t="s">
        <v>150</v>
      </c>
      <c r="Q201" s="1"/>
      <c r="R201" s="1"/>
      <c r="S201" s="1"/>
      <c r="T201" s="2"/>
      <c r="Y201" s="1"/>
    </row>
    <row r="202" spans="1:25" ht="18.75" x14ac:dyDescent="0.3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</row>
    <row r="203" spans="1:25" ht="18.75" x14ac:dyDescent="0.3">
      <c r="A203" s="137" t="s">
        <v>151</v>
      </c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 t="s">
        <v>152</v>
      </c>
      <c r="S203" s="1"/>
    </row>
  </sheetData>
  <autoFilter ref="A2:Y199"/>
  <mergeCells count="4">
    <mergeCell ref="A84:B84"/>
    <mergeCell ref="A181:B181"/>
    <mergeCell ref="F1:Q1"/>
    <mergeCell ref="A1:B1"/>
  </mergeCells>
  <pageMargins left="0.39370078740157483" right="0" top="0.19685039370078741" bottom="0.19685039370078741" header="0.31496062992125984" footer="0.31496062992125984"/>
  <pageSetup paperSize="9" scale="76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2014-10-09T09:11:30Z</dcterms:modified>
</cp:coreProperties>
</file>